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userName="Goodacre, Kelly" reservationPassword="EF5C"/>
  <workbookPr defaultThemeVersion="124226"/>
  <bookViews>
    <workbookView xWindow="240" yWindow="180" windowWidth="15600" windowHeight="8895" tabRatio="751"/>
  </bookViews>
  <sheets>
    <sheet name="School Formula Budget 2014-15" sheetId="39" r:id="rId1"/>
    <sheet name="Special Schools &amp; PRU" sheetId="34" r:id="rId2"/>
    <sheet name="2014 Factor % to units" sheetId="41" state="hidden" r:id="rId3"/>
    <sheet name="Summary for Prints - updated" sheetId="32" state="hidden" r:id="rId4"/>
    <sheet name="Special Schools List" sheetId="38" state="hidden" r:id="rId5"/>
    <sheet name="Special and PRU Data" sheetId="26" state="hidden" r:id="rId6"/>
    <sheet name="For proforma" sheetId="37" state="hidden" r:id="rId7"/>
    <sheet name="School &amp; Nursery Setting Lookup" sheetId="35" state="hidden" r:id="rId8"/>
    <sheet name="Split Site" sheetId="10" state="hidden" r:id="rId9"/>
    <sheet name="Rates" sheetId="11" state="hidden" r:id="rId10"/>
    <sheet name="PFI" sheetId="12" state="hidden" r:id="rId11"/>
    <sheet name="Delegation in 13-14" sheetId="16" state="hidden" r:id="rId12"/>
    <sheet name="Notional SEN" sheetId="29" state="hidden" r:id="rId13"/>
    <sheet name="AWPU" sheetId="2" state="hidden" r:id="rId14"/>
    <sheet name="ERS" sheetId="28" state="hidden" r:id="rId15"/>
    <sheet name="Nursery Formula" sheetId="31" state="hidden" r:id="rId16"/>
    <sheet name="Deprivation" sheetId="4" state="hidden" r:id="rId17"/>
    <sheet name="LAC" sheetId="5" state="hidden" r:id="rId18"/>
    <sheet name="LCHI SEN" sheetId="6" state="hidden" r:id="rId19"/>
    <sheet name="EAL" sheetId="7" state="hidden" r:id="rId20"/>
    <sheet name="Mobility" sheetId="8" state="hidden" r:id="rId21"/>
    <sheet name="Lump Sum" sheetId="9" state="hidden" r:id="rId22"/>
    <sheet name="De-Delegation 14-15" sheetId="25" state="hidden" r:id="rId23"/>
    <sheet name="Prior Year Adj 13-14" sheetId="40" state="hidden" r:id="rId24"/>
    <sheet name="2013-14 Base Budget" sheetId="17" state="hidden" r:id="rId25"/>
    <sheet name="FY 1314 Calculator" sheetId="20" state="hidden" r:id="rId26"/>
  </sheets>
  <externalReferences>
    <externalReference r:id="rId27"/>
    <externalReference r:id="rId28"/>
    <externalReference r:id="rId29"/>
    <externalReference r:id="rId30"/>
  </externalReferences>
  <definedNames>
    <definedName name="___cmn14" localSheetId="0">#REF!</definedName>
    <definedName name="___cmn14" localSheetId="3">#REF!</definedName>
    <definedName name="___cmn14">#REF!</definedName>
    <definedName name="__cmn14" localSheetId="2">#REF!</definedName>
    <definedName name="__cmn14" localSheetId="6">#REF!</definedName>
    <definedName name="__cmn14" localSheetId="15">#REF!</definedName>
    <definedName name="__cmn14" localSheetId="7">#REF!</definedName>
    <definedName name="__cmn14" localSheetId="0">#REF!</definedName>
    <definedName name="__cmn14" localSheetId="1">#REF!</definedName>
    <definedName name="__cmn14" localSheetId="4">#REF!</definedName>
    <definedName name="__cmn14" localSheetId="3">#REF!</definedName>
    <definedName name="__cmn14">#REF!</definedName>
    <definedName name="_cmn14" localSheetId="2">#REF!</definedName>
    <definedName name="_cmn14" localSheetId="6">#REF!</definedName>
    <definedName name="_cmn14" localSheetId="15">#REF!</definedName>
    <definedName name="_cmn14" localSheetId="23">#REF!</definedName>
    <definedName name="_cmn14" localSheetId="7">#REF!</definedName>
    <definedName name="_cmn14" localSheetId="0">#REF!</definedName>
    <definedName name="_cmn14" localSheetId="1">#REF!</definedName>
    <definedName name="_cmn14" localSheetId="4">#REF!</definedName>
    <definedName name="_cmn14" localSheetId="3">#REF!</definedName>
    <definedName name="_cmn14">#REF!</definedName>
    <definedName name="_xlnm._FilterDatabase" localSheetId="15" hidden="1">'Nursery Formula'!$A$1:$AQ$58</definedName>
    <definedName name="_xlnm._FilterDatabase" localSheetId="23" hidden="1">'Prior Year Adj 13-14'!$A$1:$AT$299</definedName>
    <definedName name="_xlnm._FilterDatabase" localSheetId="0" hidden="1">'School Formula Budget 2014-15'!#REF!</definedName>
    <definedName name="_xlnm._FilterDatabase" localSheetId="1" hidden="1">'Special Schools &amp; PRU'!#REF!</definedName>
    <definedName name="Adjustments_To_1314_SBS">'[1]Local Factors'!$Z$5</definedName>
    <definedName name="AWPU_KS3_Rate">[1]Proforma!$E$12</definedName>
    <definedName name="AWPU_KS4_Rate">[1]Proforma!$E$13</definedName>
    <definedName name="AWPU_Pri_Rate">[1]Proforma!$E$11</definedName>
    <definedName name="AWPU_Primary_DD_rate">'[1]De Delegation'!$V$8</definedName>
    <definedName name="AWPU_Sec_DD_rate">'[1]De Delegation'!$W$9</definedName>
    <definedName name="BUDSHEET" localSheetId="2">#REF!</definedName>
    <definedName name="BUDSHEET" localSheetId="6">#REF!</definedName>
    <definedName name="BUDSHEET" localSheetId="15">#REF!</definedName>
    <definedName name="BUDSHEET" localSheetId="23">#REF!</definedName>
    <definedName name="BUDSHEET" localSheetId="7">#REF!</definedName>
    <definedName name="BUDSHEET" localSheetId="0">#REF!</definedName>
    <definedName name="BUDSHEET" localSheetId="1">#REF!</definedName>
    <definedName name="BUDSHEET" localSheetId="4">#REF!</definedName>
    <definedName name="BUDSHEET" localSheetId="3">#REF!</definedName>
    <definedName name="BUDSHEET">#REF!</definedName>
    <definedName name="Capping_Scaling_YesNo">[1]Proforma!$J$57</definedName>
    <definedName name="Ceiling">[1]Proforma!$D$58</definedName>
    <definedName name="datarows" localSheetId="2">[2]SchoolTable!#REF!</definedName>
    <definedName name="datarows" localSheetId="6">[2]SchoolTable!#REF!</definedName>
    <definedName name="datarows" localSheetId="23">[2]SchoolTable!#REF!</definedName>
    <definedName name="datarows" localSheetId="7">[2]SchoolTable!#REF!</definedName>
    <definedName name="datarows" localSheetId="0">[2]SchoolTable!#REF!</definedName>
    <definedName name="datarows" localSheetId="1">[2]SchoolTable!#REF!</definedName>
    <definedName name="datarows" localSheetId="4">[2]SchoolTable!#REF!</definedName>
    <definedName name="datarows" localSheetId="3">[2]SchoolTable!#REF!</definedName>
    <definedName name="datarows">[2]SchoolTable!#REF!</definedName>
    <definedName name="EAL_Pri">[1]Proforma!$E$27</definedName>
    <definedName name="EAL_Pri_DD_rate">'[1]De Delegation'!$V$21</definedName>
    <definedName name="EAL_Pri_Option">[1]Proforma!$D$27</definedName>
    <definedName name="EAL_Sec">[1]Proforma!$F$28</definedName>
    <definedName name="EAL_Sec_DD_rate">'[1]De Delegation'!$W$22</definedName>
    <definedName name="EAL_Sec_Option">[1]Proforma!$D$28</definedName>
    <definedName name="END" localSheetId="2">#REF!</definedName>
    <definedName name="END" localSheetId="6">#REF!</definedName>
    <definedName name="END" localSheetId="15">#REF!</definedName>
    <definedName name="END" localSheetId="23">#REF!</definedName>
    <definedName name="END" localSheetId="7">#REF!</definedName>
    <definedName name="END" localSheetId="0">#REF!</definedName>
    <definedName name="END" localSheetId="1">#REF!</definedName>
    <definedName name="END" localSheetId="4">#REF!</definedName>
    <definedName name="END" localSheetId="3">#REF!</definedName>
    <definedName name="END">#REF!</definedName>
    <definedName name="enddfes" localSheetId="2">#REF!</definedName>
    <definedName name="enddfes" localSheetId="6">#REF!</definedName>
    <definedName name="enddfes" localSheetId="23">#REF!</definedName>
    <definedName name="enddfes" localSheetId="7">#REF!</definedName>
    <definedName name="enddfes" localSheetId="0">#REF!</definedName>
    <definedName name="enddfes" localSheetId="1">#REF!</definedName>
    <definedName name="enddfes" localSheetId="4">#REF!</definedName>
    <definedName name="enddfes" localSheetId="3">#REF!</definedName>
    <definedName name="enddfes">#REF!</definedName>
    <definedName name="Ethnicity___all_pupils" localSheetId="0">#REF!</definedName>
    <definedName name="Ethnicity___all_pupils" localSheetId="3">#REF!</definedName>
    <definedName name="Ethnicity___all_pupils">#REF!</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ExpYr1Chart" localSheetId="2">#REF!</definedName>
    <definedName name="ExpYr1Chart" localSheetId="6">#REF!</definedName>
    <definedName name="ExpYr1Chart" localSheetId="15">#REF!</definedName>
    <definedName name="ExpYr1Chart" localSheetId="23">#REF!</definedName>
    <definedName name="ExpYr1Chart" localSheetId="7">#REF!</definedName>
    <definedName name="ExpYr1Chart" localSheetId="0">#REF!</definedName>
    <definedName name="ExpYr1Chart" localSheetId="1">#REF!</definedName>
    <definedName name="ExpYr1Chart" localSheetId="4">#REF!</definedName>
    <definedName name="ExpYr1Chart" localSheetId="3">#REF!</definedName>
    <definedName name="ExpYr1Chart">#REF!</definedName>
    <definedName name="ExpYr2Chart" localSheetId="2">#REF!</definedName>
    <definedName name="ExpYr2Chart" localSheetId="6">#REF!</definedName>
    <definedName name="ExpYr2Chart" localSheetId="15">#REF!</definedName>
    <definedName name="ExpYr2Chart" localSheetId="23">#REF!</definedName>
    <definedName name="ExpYr2Chart" localSheetId="7">#REF!</definedName>
    <definedName name="ExpYr2Chart" localSheetId="0">#REF!</definedName>
    <definedName name="ExpYr2Chart" localSheetId="1">#REF!</definedName>
    <definedName name="ExpYr2Chart" localSheetId="4">#REF!</definedName>
    <definedName name="ExpYr2Chart" localSheetId="3">#REF!</definedName>
    <definedName name="ExpYr2Chart">#REF!</definedName>
    <definedName name="ExpYr3Chart" localSheetId="2">#REF!</definedName>
    <definedName name="ExpYr3Chart" localSheetId="6">#REF!</definedName>
    <definedName name="ExpYr3Chart" localSheetId="15">#REF!</definedName>
    <definedName name="ExpYr3Chart" localSheetId="23">#REF!</definedName>
    <definedName name="ExpYr3Chart" localSheetId="7">#REF!</definedName>
    <definedName name="ExpYr3Chart" localSheetId="0">#REF!</definedName>
    <definedName name="ExpYr3Chart" localSheetId="1">#REF!</definedName>
    <definedName name="ExpYr3Chart" localSheetId="4">#REF!</definedName>
    <definedName name="ExpYr3Chart" localSheetId="3">#REF!</definedName>
    <definedName name="ExpYr3Chart">#REF!</definedName>
    <definedName name="Fringe_Total">'[1]New ISB'!$AE$5</definedName>
    <definedName name="FSM_eligibility___all_pupils" localSheetId="0">#REF!</definedName>
    <definedName name="FSM_eligibility___all_pupils" localSheetId="3">#REF!</definedName>
    <definedName name="FSM_eligibility___all_pupils">#REF!</definedName>
    <definedName name="FSM_Pri_DD_rate">'[1]De Delegation'!$V$10</definedName>
    <definedName name="FSM_Pri_Option">[1]Proforma!$D$15</definedName>
    <definedName name="FSM_Pri_Rate">[1]Proforma!$E$15</definedName>
    <definedName name="FSM_Sec_DD_rate">'[1]De Delegation'!$W$11</definedName>
    <definedName name="FSM_Sec_Option">[1]Proforma!$D$16</definedName>
    <definedName name="FSM_Sec_Rate">[1]Proforma!$F$16</definedName>
    <definedName name="IDACI_B1_Pri">[1]Proforma!$E$17</definedName>
    <definedName name="IDACI_B1_Pri_DD_rate">'[1]De Delegation'!$V$12</definedName>
    <definedName name="IDACI_B1_Sec">[1]Proforma!$F$17</definedName>
    <definedName name="IDACI_B1_Sec_DD_rate">'[1]De Delegation'!$W$12</definedName>
    <definedName name="IDACI_B2_Pri">[1]Proforma!$E$18</definedName>
    <definedName name="IDACI_B2_Pri_DD_rate">'[1]De Delegation'!$V$13</definedName>
    <definedName name="IDACI_B2_Sec">[1]Proforma!$F$18</definedName>
    <definedName name="IDACI_B2_Sec_DD_rate">'[1]De Delegation'!$W$13</definedName>
    <definedName name="IDACI_B3_Pri">[1]Proforma!$E$19</definedName>
    <definedName name="IDACI_B3_Pri_DD_rate">'[1]De Delegation'!$V$14</definedName>
    <definedName name="IDACI_B3_Sec">[1]Proforma!$F$19</definedName>
    <definedName name="IDACI_B3_Sec_DD_rate">'[1]De Delegation'!$W$14</definedName>
    <definedName name="IDACI_B4_Pri">[1]Proforma!$E$20</definedName>
    <definedName name="IDACI_B4_Pri_DD_rate">'[1]De Delegation'!$V$15</definedName>
    <definedName name="IDACI_B4_Sec">[1]Proforma!$F$20</definedName>
    <definedName name="IDACI_B4_Sec_DD_rate">'[1]De Delegation'!$W$15</definedName>
    <definedName name="IDACI_B5_Pri">[1]Proforma!$E$21</definedName>
    <definedName name="IDACI_B5_Pri_DD_rate">'[1]De Delegation'!$V$16</definedName>
    <definedName name="IDACI_B5_Sec">[1]Proforma!$F$21</definedName>
    <definedName name="IDACI_B5_Sec_DD_rate">'[1]De Delegation'!$W$16</definedName>
    <definedName name="IDACI_B6_Pri">[1]Proforma!$E$22</definedName>
    <definedName name="IDACI_B6_Pri_DD_rate">'[1]De Delegation'!$V$17</definedName>
    <definedName name="IDACI_B6_Sec">[1]Proforma!$F$22</definedName>
    <definedName name="IDACI_B6_Sec_DD_rate">'[1]De Delegation'!$W$17</definedName>
    <definedName name="j" localSheetId="2">[2]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6">[2]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23">[2]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7">[2]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0">[2]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1">[2]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4">[2]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 localSheetId="3">[2]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j">[2]SchoolTable!$L$1:$L$65536,[2]SchoolTable!$M$1:$M$65536,[2]SchoolTable!$N$1:$N$65536,[2]SchoolTable!$S$1:$S$65536,[2]SchoolTable!$T$1:$T$65536,[2]SchoolTable!#REF!,[2]SchoolTable!$AK$1:$AK$65536,[2]SchoolTable!$BC$1:$BC$65536,[2]SchoolTable!$A$1:$A$65536,[2]SchoolTable!$B$1:$B$65536,[2]SchoolTable!$C$1:$C$65536,[2]SchoolTable!$D$1:$D$65536,[2]SchoolTable!$BP$1:$BP$65536,[2]SchoolTable!#REF!,[2]SchoolTable!$ET$1:$ET$65536</definedName>
    <definedName name="LAC_Pri_DD_rate">'[1]De Delegation'!$V$18</definedName>
    <definedName name="LAC_Rate">[1]Proforma!$E$24</definedName>
    <definedName name="LAC_Sec_DD_rate">'[1]De Delegation'!$W$18</definedName>
    <definedName name="Language___all_pupils" localSheetId="0">#REF!</definedName>
    <definedName name="Language___all_pupils" localSheetId="3">#REF!</definedName>
    <definedName name="Language___all_pupils">#REF!</definedName>
    <definedName name="LCHI_Pri">[1]Proforma!$E$25</definedName>
    <definedName name="LCHI_Pri_DD_rate">'[1]De Delegation'!$V$19</definedName>
    <definedName name="LCHI_Pri_Option">[1]Proforma!$D$25</definedName>
    <definedName name="LCHI_Sec">[1]Proforma!$F$26</definedName>
    <definedName name="LCHI_Sec_DD_rate">'[1]De Delegation'!$W$20</definedName>
    <definedName name="Lump_sum_Pri_DD_rate">'[1]De Delegation'!$V$24</definedName>
    <definedName name="Lump_sum_Sec_DD_rate">'[1]De Delegation'!$W$24</definedName>
    <definedName name="Lump_Sum_total">'[1]New ISB'!$AC$5</definedName>
    <definedName name="MFG_Total">'[1]New ISB'!$BB$5</definedName>
    <definedName name="Mobility_Pri">[1]Proforma!$E$29</definedName>
    <definedName name="Mobility_Pri_DD_Rate">'[1]De Delegation'!$V$23</definedName>
    <definedName name="Mobility_Sec">[1]Proforma!$F$29</definedName>
    <definedName name="Mobility_Sec_DD_Rate">'[1]De Delegation'!$W$23</definedName>
    <definedName name="new" localSheetId="0">#REF!</definedName>
    <definedName name="new" localSheetId="3">#REF!</definedName>
    <definedName name="new">#REF!</definedName>
    <definedName name="NFPPRIMGM" localSheetId="2">#REF!</definedName>
    <definedName name="NFPPRIMGM" localSheetId="6">#REF!</definedName>
    <definedName name="NFPPRIMGM" localSheetId="15">#REF!</definedName>
    <definedName name="NFPPRIMGM" localSheetId="23">#REF!</definedName>
    <definedName name="NFPPRIMGM" localSheetId="7">#REF!</definedName>
    <definedName name="NFPPRIMGM" localSheetId="0">#REF!</definedName>
    <definedName name="NFPPRIMGM" localSheetId="1">#REF!</definedName>
    <definedName name="NFPPRIMGM" localSheetId="4">#REF!</definedName>
    <definedName name="NFPPRIMGM" localSheetId="3">#REF!</definedName>
    <definedName name="NFPPRIMGM">#REF!</definedName>
    <definedName name="NFPPRIMLEA" localSheetId="2">#REF!</definedName>
    <definedName name="NFPPRIMLEA" localSheetId="6">#REF!</definedName>
    <definedName name="NFPPRIMLEA" localSheetId="15">#REF!</definedName>
    <definedName name="NFPPRIMLEA" localSheetId="23">#REF!</definedName>
    <definedName name="NFPPRIMLEA" localSheetId="7">#REF!</definedName>
    <definedName name="NFPPRIMLEA" localSheetId="0">#REF!</definedName>
    <definedName name="NFPPRIMLEA" localSheetId="1">#REF!</definedName>
    <definedName name="NFPPRIMLEA" localSheetId="4">#REF!</definedName>
    <definedName name="NFPPRIMLEA" localSheetId="3">#REF!</definedName>
    <definedName name="NFPPRIMLEA">#REF!</definedName>
    <definedName name="non_prim">[2]SchoolTable!$A$21:$IV$33,[2]SchoolTable!$A$113:$IV$142</definedName>
    <definedName name="non_sec">[2]SchoolTable!$A$21:$IV$112,[2]SchoolTable!$A$129:$IV$140</definedName>
    <definedName name="non_spe">[2]SchoolTable!$A$21:$IV$128,[2]SchoolTable!$A$140:$IV$141</definedName>
    <definedName name="NonTable2_1" localSheetId="2">[2]SchoolTable!#REF!</definedName>
    <definedName name="NonTable2_1" localSheetId="6">[2]SchoolTable!#REF!</definedName>
    <definedName name="NonTable2_1" localSheetId="23">[2]SchoolTable!#REF!</definedName>
    <definedName name="NonTable2_1" localSheetId="7">[2]SchoolTable!#REF!</definedName>
    <definedName name="NonTable2_1" localSheetId="0">[2]SchoolTable!#REF!</definedName>
    <definedName name="NonTable2_1" localSheetId="1">[2]SchoolTable!#REF!</definedName>
    <definedName name="NonTable2_1" localSheetId="4">[2]SchoolTable!#REF!</definedName>
    <definedName name="NonTable2_1" localSheetId="3">[2]SchoolTable!#REF!</definedName>
    <definedName name="NonTable2_1">[2]SchoolTable!#REF!</definedName>
    <definedName name="NonTable2_2" localSheetId="2">[2]SchoolTable!#REF!</definedName>
    <definedName name="NonTable2_2" localSheetId="23">[2]SchoolTable!#REF!</definedName>
    <definedName name="NonTable2_2" localSheetId="0">[2]SchoolTable!#REF!</definedName>
    <definedName name="NonTable2_2" localSheetId="1">[2]SchoolTable!#REF!</definedName>
    <definedName name="NonTable2_2" localSheetId="3">[2]SchoolTable!#REF!</definedName>
    <definedName name="NonTable2_2">[2]SchoolTable!#REF!</definedName>
    <definedName name="NonTable2_4" localSheetId="2">[2]SchoolTable!#REF!</definedName>
    <definedName name="NonTable2_4" localSheetId="23">[2]SchoolTable!#REF!</definedName>
    <definedName name="NonTable2_4" localSheetId="0">[2]SchoolTable!#REF!</definedName>
    <definedName name="NonTable2_4" localSheetId="1">[2]SchoolTable!#REF!</definedName>
    <definedName name="NonTable2_4" localSheetId="3">[2]SchoolTable!#REF!</definedName>
    <definedName name="NonTable2_4">[2]SchoolTable!#REF!</definedName>
    <definedName name="Notional_SEN_AWPU_KS3">[1]Proforma!$L$12</definedName>
    <definedName name="Notional_SEN_AWPU_KS4">[1]Proforma!$L$13</definedName>
    <definedName name="Notional_SEN_AWPU_Pri">[1]Proforma!$L$11</definedName>
    <definedName name="Notional_SEN_EAL_Pri">[1]Proforma!$L$27</definedName>
    <definedName name="Notional_SEN_EAL_Sec">[1]Proforma!$M$28</definedName>
    <definedName name="Notional_SEN_ExCir1">[1]Proforma!$L$47</definedName>
    <definedName name="Notional_SEN_ExCir2">[1]Proforma!$L$48</definedName>
    <definedName name="Notional_SEN_ExCir3">[1]Proforma!$L$49</definedName>
    <definedName name="Notional_SEN_ExCir4">[1]Proforma!$L$50</definedName>
    <definedName name="Notional_SEN_ExCir5">[1]Proforma!$L$51</definedName>
    <definedName name="Notional_SEN_ExCir6">[1]Proforma!$L$52</definedName>
    <definedName name="Notional_SEN_Fringe">[1]Proforma!$L$40</definedName>
    <definedName name="Notional_SEN_FSM_Pri">[1]Proforma!$L$15</definedName>
    <definedName name="Notional_SEN_FSM_Sec">[1]Proforma!$M$16</definedName>
    <definedName name="Notional_SEN_IDACI_B1_Pri">[1]Proforma!$L$17</definedName>
    <definedName name="Notional_SEN_IDACI_B1_Sec">[1]Proforma!$M$17</definedName>
    <definedName name="Notional_SEN_IDACI_B2_Pri">[1]Proforma!$L$18</definedName>
    <definedName name="Notional_SEN_IDACI_B2_Sec">[1]Proforma!$M$18</definedName>
    <definedName name="Notional_SEN_IDACI_B3_Pri">[1]Proforma!$L$19</definedName>
    <definedName name="Notional_SEN_IDACI_B3_Sec">[1]Proforma!$M$19</definedName>
    <definedName name="Notional_SEN_IDACI_B4_Pri">[1]Proforma!$L$20</definedName>
    <definedName name="Notional_SEN_IDACI_B4_Sec">[1]Proforma!$M$20</definedName>
    <definedName name="Notional_SEN_IDACI_B5_Pri">[1]Proforma!$L$21</definedName>
    <definedName name="Notional_SEN_IDACI_B5_Sec">[1]Proforma!$M$21</definedName>
    <definedName name="Notional_SEN_IDACI_B6_Pri">[1]Proforma!$L$22</definedName>
    <definedName name="Notional_SEN_IDACI_B6_Sec">[1]Proforma!$M$22</definedName>
    <definedName name="Notional_SEN_LAC">[1]Proforma!$L$24</definedName>
    <definedName name="Notional_SEN_LCHI_Pri">[1]Proforma!$L$25</definedName>
    <definedName name="Notional_SEN_LCHI_Sec">[1]Proforma!$M$26</definedName>
    <definedName name="Notional_SEN_Lump_sum">[1]Proforma!$L$35</definedName>
    <definedName name="Notional_SEN_Mobility_Pri">[1]Proforma!$L$29</definedName>
    <definedName name="Notional_SEN_Mobility_Sec">[1]Proforma!$M$29</definedName>
    <definedName name="Notional_SEN_PFI">[1]Proforma!$L$43</definedName>
    <definedName name="Notional_SEN_Rates">[1]Proforma!$L$42</definedName>
    <definedName name="Notional_SEN_SixthForm">[1]Proforma!$L$44</definedName>
    <definedName name="Notional_SEN_Sparsity">[1]Proforma!$L$36</definedName>
    <definedName name="Notional_SEN_Split_sites">[1]Proforma!$L$41</definedName>
    <definedName name="nursery">[2]SchoolTable!$A$1:$T$65536,[2]SchoolTable!$BR$1:$CE$65536,[2]SchoolTable!$EP$1:$EP$65536,[2]SchoolTable!$EQ$1:$EQ$65536,[2]SchoolTable!$ER$1:$ER$65536,[2]SchoolTable!$ET$1:$ET$65536,[2]SchoolTable!$EU$1:$EU$65536,[2]SchoolTable!$EV$1:$EV$65536,[2]SchoolTable!$EX$1:$EX$65536,[2]SchoolTable!$EY$1:$EY$65536,[2]SchoolTable!$EZ$1:$EZ$65536</definedName>
    <definedName name="old" localSheetId="0">#REF!</definedName>
    <definedName name="old" localSheetId="3">#REF!</definedName>
    <definedName name="old">#REF!</definedName>
    <definedName name="PayScales" localSheetId="2">#REF!</definedName>
    <definedName name="PayScales" localSheetId="6">#REF!</definedName>
    <definedName name="PayScales" localSheetId="15">#REF!</definedName>
    <definedName name="PayScales" localSheetId="23">#REF!</definedName>
    <definedName name="PayScales" localSheetId="7">#REF!</definedName>
    <definedName name="PayScales" localSheetId="0">#REF!</definedName>
    <definedName name="PayScales" localSheetId="1">#REF!</definedName>
    <definedName name="PayScales" localSheetId="4">#REF!</definedName>
    <definedName name="PayScales" localSheetId="3">#REF!</definedName>
    <definedName name="PayScales">#REF!</definedName>
    <definedName name="PFI_Total">'[1]New ISB'!$AH$5</definedName>
    <definedName name="PhaseTot">[2]SchoolTable!$L$1:$L$65536,[2]SchoolTable!$AK$1:$AK$65536,[2]SchoolTable!$BC$1:$BC$65536,[2]SchoolTable!$BP$1:$BP$65536</definedName>
    <definedName name="PoolPremiumNonTeaching" localSheetId="2">'[3]Admin EDB09-EDB18'!#REF!</definedName>
    <definedName name="PoolPremiumNonTeaching" localSheetId="15">'[3]Admin EDB09-EDB18'!#REF!</definedName>
    <definedName name="PoolPremiumNonTeaching" localSheetId="23">'[3]Admin EDB09-EDB18'!#REF!</definedName>
    <definedName name="PoolPremiumNonTeaching" localSheetId="0">'[3]Admin EDB09-EDB18'!#REF!</definedName>
    <definedName name="PoolPremiumNonTeaching" localSheetId="1">'[3]Admin EDB09-EDB18'!#REF!</definedName>
    <definedName name="PoolPremiumNonTeaching" localSheetId="3">'[3]Admin EDB09-EDB18'!#REF!</definedName>
    <definedName name="PoolPremiumNonTeaching">'[3]Admin EDB09-EDB18'!#REF!</definedName>
    <definedName name="Pri_distance_threshold">[1]Proforma!$D$38</definedName>
    <definedName name="Pri_PupilNo_threshold">[1]Proforma!$D$39</definedName>
    <definedName name="primary">[2]SchoolTable!$A$1:$AL$65536,[2]SchoolTable!$BR$1:$CM$65536,[2]SchoolTable!$CQ$1:$CR$65536,[2]SchoolTable!$CQ$1:$ER$65536,[2]SchoolTable!$ET$1:$EZ$65536</definedName>
    <definedName name="Primary_Lump_sum">[1]Proforma!$E$35</definedName>
    <definedName name="_xlnm.Print_Area" localSheetId="2">'2014 Factor % to units'!$A$2:$BH$86</definedName>
    <definedName name="_xlnm.Print_Area" localSheetId="13">AWPU!$A$1:$AB$100</definedName>
    <definedName name="_xlnm.Print_Area" localSheetId="16">Deprivation!$A$1:$O$97</definedName>
    <definedName name="_xlnm.Print_Area" localSheetId="25">'FY 1314 Calculator'!$A$1:$AJ$121</definedName>
    <definedName name="_xlnm.Print_Area" localSheetId="17">LAC!$A$1:$D$96</definedName>
    <definedName name="_xlnm.Print_Area" localSheetId="18">'LCHI SEN'!$A$1:$D$96</definedName>
    <definedName name="_xlnm.Print_Area" localSheetId="20">Mobility!$A$1:$K$96</definedName>
    <definedName name="_xlnm.Print_Area" localSheetId="15">'Nursery Formula'!$A$7:$AQ$56</definedName>
    <definedName name="_xlnm.Print_Area" localSheetId="23">'Prior Year Adj 13-14'!$A$60:$AM$166</definedName>
    <definedName name="_xlnm.Print_Area" localSheetId="0">'School Formula Budget 2014-15'!$B$1:$J$127</definedName>
    <definedName name="_xlnm.Print_Area" localSheetId="1">'Special Schools &amp; PRU'!$A$1:$D$28</definedName>
    <definedName name="_xlnm.Print_Area" localSheetId="3">'Summary for Prints - updated'!$A$1:$AH$143</definedName>
    <definedName name="_xlnm.Print_Titles" localSheetId="2">'2014 Factor % to units'!$A:$B,'2014 Factor % to units'!$2:$2</definedName>
    <definedName name="_xlnm.Print_Titles" localSheetId="13">AWPU!$A:$B,AWPU!$6:$6</definedName>
    <definedName name="_xlnm.Print_Titles" localSheetId="16">Deprivation!$6:$6</definedName>
    <definedName name="_xlnm.Print_Titles" localSheetId="25">'FY 1314 Calculator'!$B:$C,'FY 1314 Calculator'!$16:$17</definedName>
    <definedName name="_xlnm.Print_Titles" localSheetId="15">'Nursery Formula'!$A:$C,'Nursery Formula'!$5:$5</definedName>
    <definedName name="_xlnm.Print_Titles" localSheetId="23">'Prior Year Adj 13-14'!$A:$C,'Prior Year Adj 13-14'!$60:$60</definedName>
    <definedName name="_xlnm.Print_Titles" localSheetId="5">'Special and PRU Data'!$A:$B,'Special and PRU Data'!$1:$5</definedName>
    <definedName name="_xlnm.Print_Titles" localSheetId="3">'Summary for Prints - updated'!$A:$B,'Summary for Prints - updated'!$1:$1</definedName>
    <definedName name="PupilNumberChart" localSheetId="2">#REF!</definedName>
    <definedName name="PupilNumberChart" localSheetId="6">#REF!</definedName>
    <definedName name="PupilNumberChart" localSheetId="15">#REF!</definedName>
    <definedName name="PupilNumberChart" localSheetId="23">#REF!</definedName>
    <definedName name="PupilNumberChart" localSheetId="7">#REF!</definedName>
    <definedName name="PupilNumberChart" localSheetId="0">#REF!</definedName>
    <definedName name="PupilNumberChart" localSheetId="1">#REF!</definedName>
    <definedName name="PupilNumberChart" localSheetId="4">#REF!</definedName>
    <definedName name="PupilNumberChart" localSheetId="3">#REF!</definedName>
    <definedName name="PupilNumberChart">#REF!</definedName>
    <definedName name="PupilOnRoll" localSheetId="2">#REF!</definedName>
    <definedName name="PupilOnRoll" localSheetId="6">#REF!</definedName>
    <definedName name="PupilOnRoll" localSheetId="15">#REF!</definedName>
    <definedName name="PupilOnRoll" localSheetId="23">#REF!</definedName>
    <definedName name="PupilOnRoll" localSheetId="7">#REF!</definedName>
    <definedName name="PupilOnRoll" localSheetId="0">#REF!</definedName>
    <definedName name="PupilOnRoll" localSheetId="1">#REF!</definedName>
    <definedName name="PupilOnRoll" localSheetId="4">#REF!</definedName>
    <definedName name="PupilOnRoll" localSheetId="3">#REF!</definedName>
    <definedName name="PupilOnRoll">#REF!</definedName>
    <definedName name="Pupils_on_Roll__C___M_only__Crosstab" localSheetId="2">#REF!</definedName>
    <definedName name="Pupils_on_Roll__C___M_only__Crosstab" localSheetId="6">#REF!</definedName>
    <definedName name="Pupils_on_Roll__C___M_only__Crosstab" localSheetId="15">#REF!</definedName>
    <definedName name="Pupils_on_Roll__C___M_only__Crosstab" localSheetId="23">#REF!</definedName>
    <definedName name="Pupils_on_Roll__C___M_only__Crosstab" localSheetId="7">#REF!</definedName>
    <definedName name="Pupils_on_Roll__C___M_only__Crosstab" localSheetId="0">#REF!</definedName>
    <definedName name="Pupils_on_Roll__C___M_only__Crosstab" localSheetId="1">#REF!</definedName>
    <definedName name="Pupils_on_Roll__C___M_only__Crosstab" localSheetId="4">#REF!</definedName>
    <definedName name="Pupils_on_Roll__C___M_only__Crosstab" localSheetId="3">#REF!</definedName>
    <definedName name="Pupils_on_Roll__C___M_only__Crosstab">#REF!</definedName>
    <definedName name="Rates_Total">'[1]New ISB'!$AG$5</definedName>
    <definedName name="Reasons_list">'[1]Input &amp; Adjustments'!$BQ$6:$BQ$13</definedName>
    <definedName name="Reception_Uplift_YesNo">[1]Proforma!$E$9</definedName>
    <definedName name="Scaling_Factor">[1]Proforma!$G$58</definedName>
    <definedName name="Sch_type">[4]Rates!$A$4:$A$8</definedName>
    <definedName name="School" localSheetId="2">#REF!</definedName>
    <definedName name="School" localSheetId="6">#REF!</definedName>
    <definedName name="School" localSheetId="15">#REF!</definedName>
    <definedName name="School" localSheetId="23">#REF!</definedName>
    <definedName name="School" localSheetId="7">#REF!</definedName>
    <definedName name="School" localSheetId="0">#REF!</definedName>
    <definedName name="School" localSheetId="1">#REF!</definedName>
    <definedName name="School" localSheetId="4">#REF!</definedName>
    <definedName name="School" localSheetId="3">#REF!</definedName>
    <definedName name="School">#REF!</definedName>
    <definedName name="School_list">'[1]New ISB'!$C$6:$C$250</definedName>
    <definedName name="Sec_distance_threshold">[1]Proforma!$G$38</definedName>
    <definedName name="Sec_PupilNo_threshold">[1]Proforma!$G$39</definedName>
    <definedName name="secondary">[2]SchoolTable!$A$1:$T$65536,[2]SchoolTable!$AM$1:$BD$65536,[2]SchoolTable!$BR$1:$EZ$65536</definedName>
    <definedName name="Secondary_Lump_Sum">[1]Proforma!$G$35</definedName>
    <definedName name="Sixth_Form_Total">'[1]New ISB'!$AI$5</definedName>
    <definedName name="smrow" localSheetId="2">[2]SchoolTable!#REF!</definedName>
    <definedName name="smrow" localSheetId="6">[2]SchoolTable!#REF!</definedName>
    <definedName name="smrow" localSheetId="23">[2]SchoolTable!#REF!</definedName>
    <definedName name="smrow" localSheetId="7">[2]SchoolTable!#REF!</definedName>
    <definedName name="smrow" localSheetId="0">[2]SchoolTable!#REF!</definedName>
    <definedName name="smrow" localSheetId="1">[2]SchoolTable!#REF!</definedName>
    <definedName name="smrow" localSheetId="4">[2]SchoolTable!#REF!</definedName>
    <definedName name="smrow" localSheetId="3">[2]SchoolTable!#REF!</definedName>
    <definedName name="smrow">[2]SchoolTable!#REF!</definedName>
    <definedName name="Sparsity_Pri_DD_percentage">'[1]De Delegation'!$V$26</definedName>
    <definedName name="Sparsity_Pri_lump_sum">[1]Proforma!$E$36</definedName>
    <definedName name="Sparsity_Sec_DD_percentage">'[1]De Delegation'!$W$26</definedName>
    <definedName name="Sparsity_Sec_lump_sum">[1]Proforma!$G$36</definedName>
    <definedName name="Sparsity_Total">'[1]New ISB'!$AD$5</definedName>
    <definedName name="special">[2]SchoolTable!$A$1:$T$65536,[2]SchoolTable!$BE$1:$BS$65536,[2]SchoolTable!$BS$1:$BT$1,[2]SchoolTable!$BR$1:$CM$65536,[2]SchoolTable!$CQ$1:$EZ$65536</definedName>
    <definedName name="Split_Sites_Total">'[1]New ISB'!$AF$5</definedName>
    <definedName name="startdfes" localSheetId="2">#REF!</definedName>
    <definedName name="startdfes" localSheetId="6">#REF!</definedName>
    <definedName name="startdfes" localSheetId="23">#REF!</definedName>
    <definedName name="startdfes" localSheetId="7">#REF!</definedName>
    <definedName name="startdfes" localSheetId="0">#REF!</definedName>
    <definedName name="startdfes" localSheetId="1">#REF!</definedName>
    <definedName name="startdfes" localSheetId="4">#REF!</definedName>
    <definedName name="startdfes" localSheetId="3">#REF!</definedName>
    <definedName name="startdfes">#REF!</definedName>
    <definedName name="T2_Notes_Check" localSheetId="2">#REF!</definedName>
    <definedName name="T2_Notes_Check" localSheetId="6">#REF!</definedName>
    <definedName name="T2_Notes_Check" localSheetId="23">#REF!</definedName>
    <definedName name="T2_Notes_Check" localSheetId="7">#REF!</definedName>
    <definedName name="T2_Notes_Check" localSheetId="0">#REF!</definedName>
    <definedName name="T2_Notes_Check" localSheetId="1">#REF!</definedName>
    <definedName name="T2_Notes_Check" localSheetId="4">#REF!</definedName>
    <definedName name="T2_Notes_Check" localSheetId="3">#REF!</definedName>
    <definedName name="T2_Notes_Check">#REF!</definedName>
    <definedName name="Table_2" localSheetId="2">[2]SchoolTable!$CM$1:$CM$65536,[2]SchoolTable!#REF!,[2]SchoolTable!$CP$1:$CP$65536,[2]SchoolTable!$CT$1:$CT$65536,[2]SchoolTable!$CW$1:$CW$65536,[2]SchoolTable!$CZ$1:$CZ$65536,[2]SchoolTable!$DC$1:$DC$65536,[2]SchoolTable!$DI$1:$DI$65536,[2]SchoolTable!$DQ$1:$DQ$65536,[2]SchoolTable!#REF!,[2]SchoolTable!$DX$1:$DX$65536</definedName>
    <definedName name="Table_2" localSheetId="6">[2]SchoolTable!$CM$1:$CM$65536,[2]SchoolTable!#REF!,[2]SchoolTable!$CP$1:$CP$65536,[2]SchoolTable!$CT$1:$CT$65536,[2]SchoolTable!$CW$1:$CW$65536,[2]SchoolTable!$CZ$1:$CZ$65536,[2]SchoolTable!$DC$1:$DC$65536,[2]SchoolTable!$DI$1:$DI$65536,[2]SchoolTable!$DQ$1:$DQ$65536,[2]SchoolTable!#REF!,[2]SchoolTable!$DX$1:$DX$65536</definedName>
    <definedName name="Table_2" localSheetId="23">[2]SchoolTable!$CM$1:$CM$65536,[2]SchoolTable!#REF!,[2]SchoolTable!$CP$1:$CP$65536,[2]SchoolTable!$CT$1:$CT$65536,[2]SchoolTable!$CW$1:$CW$65536,[2]SchoolTable!$CZ$1:$CZ$65536,[2]SchoolTable!$DC$1:$DC$65536,[2]SchoolTable!$DI$1:$DI$65536,[2]SchoolTable!$DQ$1:$DQ$65536,[2]SchoolTable!#REF!,[2]SchoolTable!$DX$1:$DX$65536</definedName>
    <definedName name="Table_2" localSheetId="7">[2]SchoolTable!$CM$1:$CM$65536,[2]SchoolTable!#REF!,[2]SchoolTable!$CP$1:$CP$65536,[2]SchoolTable!$CT$1:$CT$65536,[2]SchoolTable!$CW$1:$CW$65536,[2]SchoolTable!$CZ$1:$CZ$65536,[2]SchoolTable!$DC$1:$DC$65536,[2]SchoolTable!$DI$1:$DI$65536,[2]SchoolTable!$DQ$1:$DQ$65536,[2]SchoolTable!#REF!,[2]SchoolTable!$DX$1:$DX$65536</definedName>
    <definedName name="Table_2" localSheetId="0">[2]SchoolTable!$CM$1:$CM$65536,[2]SchoolTable!#REF!,[2]SchoolTable!$CP$1:$CP$65536,[2]SchoolTable!$CT$1:$CT$65536,[2]SchoolTable!$CW$1:$CW$65536,[2]SchoolTable!$CZ$1:$CZ$65536,[2]SchoolTable!$DC$1:$DC$65536,[2]SchoolTable!$DI$1:$DI$65536,[2]SchoolTable!$DQ$1:$DQ$65536,[2]SchoolTable!#REF!,[2]SchoolTable!$DX$1:$DX$65536</definedName>
    <definedName name="Table_2" localSheetId="1">[2]SchoolTable!$CM$1:$CM$65536,[2]SchoolTable!#REF!,[2]SchoolTable!$CP$1:$CP$65536,[2]SchoolTable!$CT$1:$CT$65536,[2]SchoolTable!$CW$1:$CW$65536,[2]SchoolTable!$CZ$1:$CZ$65536,[2]SchoolTable!$DC$1:$DC$65536,[2]SchoolTable!$DI$1:$DI$65536,[2]SchoolTable!$DQ$1:$DQ$65536,[2]SchoolTable!#REF!,[2]SchoolTable!$DX$1:$DX$65536</definedName>
    <definedName name="Table_2" localSheetId="4">[2]SchoolTable!$CM$1:$CM$65536,[2]SchoolTable!#REF!,[2]SchoolTable!$CP$1:$CP$65536,[2]SchoolTable!$CT$1:$CT$65536,[2]SchoolTable!$CW$1:$CW$65536,[2]SchoolTable!$CZ$1:$CZ$65536,[2]SchoolTable!$DC$1:$DC$65536,[2]SchoolTable!$DI$1:$DI$65536,[2]SchoolTable!$DQ$1:$DQ$65536,[2]SchoolTable!#REF!,[2]SchoolTable!$DX$1:$DX$65536</definedName>
    <definedName name="Table_2" localSheetId="3">[2]SchoolTable!$CM$1:$CM$65536,[2]SchoolTable!#REF!,[2]SchoolTable!$CP$1:$CP$65536,[2]SchoolTable!$CT$1:$CT$65536,[2]SchoolTable!$CW$1:$CW$65536,[2]SchoolTable!$CZ$1:$CZ$65536,[2]SchoolTable!$DC$1:$DC$65536,[2]SchoolTable!$DI$1:$DI$65536,[2]SchoolTable!$DQ$1:$DQ$65536,[2]SchoolTable!#REF!,[2]SchoolTable!$DX$1:$DX$65536</definedName>
    <definedName name="Table_2">[2]SchoolTable!$CM$1:$CM$65536,[2]SchoolTable!#REF!,[2]SchoolTable!$CP$1:$CP$65536,[2]SchoolTable!$CT$1:$CT$65536,[2]SchoolTable!$CW$1:$CW$65536,[2]SchoolTable!$CZ$1:$CZ$65536,[2]SchoolTable!$DC$1:$DC$65536,[2]SchoolTable!$DI$1:$DI$65536,[2]SchoolTable!$DQ$1:$DQ$65536,[2]SchoolTable!#REF!,[2]SchoolTable!$DX$1:$DX$65536</definedName>
    <definedName name="Table2">[2]SchoolTable!$A$1:$F$65536,[2]SchoolTable!$L$1:$N$65536,[2]SchoolTable!$S$1:$T$65536,[2]SchoolTable!$AK$1:$AL$65536,[2]SchoolTable!$BC$1:$BD$65536,[2]SchoolTable!$BP$1:$BQ$65536,[2]SchoolTable!$BR$1:$BR$65536</definedName>
    <definedName name="Table2_2">[2]SchoolTable!$CE$1:$CE$65536,[2]SchoolTable!$CM$1:$CM$65536,[2]SchoolTable!$CP$1:$CP$65536,[2]SchoolTable!$CT$1:$CT$65536,[2]SchoolTable!$CW$1:$CW$65536,[2]SchoolTable!$CZ$1:$CZ$65536,[2]SchoolTable!$DC$1:$DC$65536</definedName>
    <definedName name="Table2_3">[2]SchoolTable!$DI$1:$DI$65536,[2]SchoolTable!$DQ$1:$DQ$65536,[2]SchoolTable!$DX$1:$DX$65536,[2]SchoolTable!$EB$1:$EB$65536,[2]SchoolTable!$EE$1:$EE$65536,[2]SchoolTable!$EH$1:$EH$65536,[2]SchoolTable!$EO$1:$EO$65536</definedName>
    <definedName name="Table2_5" localSheetId="2">[2]SchoolTable!$CM$1:$CM$65536,[2]SchoolTable!#REF!,[2]SchoolTable!$CP$1:$CP$65536,[2]SchoolTable!$CT$1:$CT$65536,[2]SchoolTable!$CW$1:$CW$65536,[2]SchoolTable!$CZ$1:$CZ$65536</definedName>
    <definedName name="Table2_5" localSheetId="6">[2]SchoolTable!$CM$1:$CM$65536,[2]SchoolTable!#REF!,[2]SchoolTable!$CP$1:$CP$65536,[2]SchoolTable!$CT$1:$CT$65536,[2]SchoolTable!$CW$1:$CW$65536,[2]SchoolTable!$CZ$1:$CZ$65536</definedName>
    <definedName name="Table2_5" localSheetId="23">[2]SchoolTable!$CM$1:$CM$65536,[2]SchoolTable!#REF!,[2]SchoolTable!$CP$1:$CP$65536,[2]SchoolTable!$CT$1:$CT$65536,[2]SchoolTable!$CW$1:$CW$65536,[2]SchoolTable!$CZ$1:$CZ$65536</definedName>
    <definedName name="Table2_5" localSheetId="7">[2]SchoolTable!$CM$1:$CM$65536,[2]SchoolTable!#REF!,[2]SchoolTable!$CP$1:$CP$65536,[2]SchoolTable!$CT$1:$CT$65536,[2]SchoolTable!$CW$1:$CW$65536,[2]SchoolTable!$CZ$1:$CZ$65536</definedName>
    <definedName name="Table2_5" localSheetId="0">[2]SchoolTable!$CM$1:$CM$65536,[2]SchoolTable!#REF!,[2]SchoolTable!$CP$1:$CP$65536,[2]SchoolTable!$CT$1:$CT$65536,[2]SchoolTable!$CW$1:$CW$65536,[2]SchoolTable!$CZ$1:$CZ$65536</definedName>
    <definedName name="Table2_5" localSheetId="1">[2]SchoolTable!$CM$1:$CM$65536,[2]SchoolTable!#REF!,[2]SchoolTable!$CP$1:$CP$65536,[2]SchoolTable!$CT$1:$CT$65536,[2]SchoolTable!$CW$1:$CW$65536,[2]SchoolTable!$CZ$1:$CZ$65536</definedName>
    <definedName name="Table2_5" localSheetId="4">[2]SchoolTable!$CM$1:$CM$65536,[2]SchoolTable!#REF!,[2]SchoolTable!$CP$1:$CP$65536,[2]SchoolTable!$CT$1:$CT$65536,[2]SchoolTable!$CW$1:$CW$65536,[2]SchoolTable!$CZ$1:$CZ$65536</definedName>
    <definedName name="Table2_5" localSheetId="3">[2]SchoolTable!$CM$1:$CM$65536,[2]SchoolTable!#REF!,[2]SchoolTable!$CP$1:$CP$65536,[2]SchoolTable!$CT$1:$CT$65536,[2]SchoolTable!$CW$1:$CW$65536,[2]SchoolTable!$CZ$1:$CZ$65536</definedName>
    <definedName name="Table2_5">[2]SchoolTable!$CM$1:$CM$65536,[2]SchoolTable!#REF!,[2]SchoolTable!$CP$1:$CP$65536,[2]SchoolTable!$CT$1:$CT$65536,[2]SchoolTable!$CW$1:$CW$65536,[2]SchoolTable!$CZ$1:$CZ$65536</definedName>
    <definedName name="TableName">"Dummy"</definedName>
    <definedName name="Tapered_lump_sum">[1]Proforma!$I$36</definedName>
    <definedName name="Total_Notional_SEN">'[1]New ISB'!$AS$5</definedName>
    <definedName name="Total_Primary_funding">'[1]New ISB'!$AU$5</definedName>
    <definedName name="Total_Secondary_Funding">'[1]New ISB'!$AV$5</definedName>
    <definedName name="zdata" localSheetId="2">#REF!</definedName>
    <definedName name="zdata" localSheetId="6">#REF!</definedName>
    <definedName name="zdata" localSheetId="15">#REF!</definedName>
    <definedName name="zdata" localSheetId="23">#REF!</definedName>
    <definedName name="zdata" localSheetId="7">#REF!</definedName>
    <definedName name="zdata" localSheetId="0">#REF!</definedName>
    <definedName name="zdata" localSheetId="1">#REF!</definedName>
    <definedName name="zdata" localSheetId="4">#REF!</definedName>
    <definedName name="zdata" localSheetId="3">#REF!</definedName>
    <definedName name="zdata">#REF!</definedName>
  </definedNames>
  <calcPr calcId="145621"/>
</workbook>
</file>

<file path=xl/calcChain.xml><?xml version="1.0" encoding="utf-8"?>
<calcChain xmlns="http://schemas.openxmlformats.org/spreadsheetml/2006/main">
  <c r="BI56" i="40" l="1"/>
  <c r="AZ55" i="40" l="1"/>
  <c r="BG92" i="41" l="1"/>
  <c r="BC92" i="41"/>
  <c r="AV92" i="41"/>
  <c r="AY92" i="41" s="1"/>
  <c r="AU92" i="41"/>
  <c r="AX92" i="41" s="1"/>
  <c r="AP92" i="41"/>
  <c r="AO92" i="41"/>
  <c r="AI92" i="41"/>
  <c r="AH92" i="41"/>
  <c r="AG92" i="41"/>
  <c r="AF92" i="41"/>
  <c r="AE92" i="41"/>
  <c r="AD92" i="41"/>
  <c r="AC92" i="41"/>
  <c r="AB92" i="41"/>
  <c r="AA92" i="41"/>
  <c r="Z92" i="41"/>
  <c r="Y92" i="41"/>
  <c r="X92" i="41"/>
  <c r="H92" i="41"/>
  <c r="G92" i="41"/>
  <c r="BG91" i="41"/>
  <c r="BC91" i="41"/>
  <c r="AY91" i="41"/>
  <c r="AX91" i="41"/>
  <c r="AV91" i="41"/>
  <c r="AU91" i="41"/>
  <c r="AP91" i="41"/>
  <c r="AO91" i="41"/>
  <c r="AI91" i="41"/>
  <c r="AH91" i="41"/>
  <c r="AG91" i="41"/>
  <c r="AF91" i="41"/>
  <c r="AE91" i="41"/>
  <c r="AD91" i="41"/>
  <c r="AC91" i="41"/>
  <c r="AB91" i="41"/>
  <c r="AA91" i="41"/>
  <c r="Z91" i="41"/>
  <c r="Y91" i="41"/>
  <c r="X91" i="41"/>
  <c r="H91" i="41"/>
  <c r="G91" i="41"/>
  <c r="BH88" i="41"/>
  <c r="BH94" i="41" s="1"/>
  <c r="BF88" i="41"/>
  <c r="BF94" i="41" s="1"/>
  <c r="BE88" i="41"/>
  <c r="BE94" i="41" s="1"/>
  <c r="BD88" i="41"/>
  <c r="BD94" i="41" s="1"/>
  <c r="BB88" i="41"/>
  <c r="BB94" i="41" s="1"/>
  <c r="BA88" i="41"/>
  <c r="BA94" i="41" s="1"/>
  <c r="AZ88" i="41"/>
  <c r="AZ94" i="41" s="1"/>
  <c r="AW88" i="41"/>
  <c r="AW94" i="41" s="1"/>
  <c r="AT88" i="41"/>
  <c r="AT94" i="41" s="1"/>
  <c r="AS88" i="41"/>
  <c r="AS94" i="41" s="1"/>
  <c r="AR88" i="41"/>
  <c r="AR94" i="41" s="1"/>
  <c r="AQ88" i="41"/>
  <c r="AQ94" i="41" s="1"/>
  <c r="AN88" i="41"/>
  <c r="AN94" i="41" s="1"/>
  <c r="AM88" i="41"/>
  <c r="AM94" i="41" s="1"/>
  <c r="AL88" i="41"/>
  <c r="AL94" i="41" s="1"/>
  <c r="AK88" i="41"/>
  <c r="AK94" i="41" s="1"/>
  <c r="AJ88" i="41"/>
  <c r="AJ94" i="41" s="1"/>
  <c r="W88" i="41"/>
  <c r="W94" i="41" s="1"/>
  <c r="V88" i="41"/>
  <c r="V94" i="41" s="1"/>
  <c r="U88" i="41"/>
  <c r="U94" i="41" s="1"/>
  <c r="T88" i="41"/>
  <c r="T94" i="41" s="1"/>
  <c r="S88" i="41"/>
  <c r="S94" i="41" s="1"/>
  <c r="R88" i="41"/>
  <c r="R94" i="41" s="1"/>
  <c r="Q88" i="41"/>
  <c r="Q94" i="41" s="1"/>
  <c r="P88" i="41"/>
  <c r="P94" i="41" s="1"/>
  <c r="O88" i="41"/>
  <c r="O94" i="41" s="1"/>
  <c r="N88" i="41"/>
  <c r="N94" i="41" s="1"/>
  <c r="M88" i="41"/>
  <c r="M94" i="41" s="1"/>
  <c r="L88" i="41"/>
  <c r="L94" i="41" s="1"/>
  <c r="K88" i="41"/>
  <c r="K94" i="41" s="1"/>
  <c r="J88" i="41"/>
  <c r="J94" i="41" s="1"/>
  <c r="I88" i="41"/>
  <c r="I94" i="41" s="1"/>
  <c r="F88" i="41"/>
  <c r="F94" i="41" s="1"/>
  <c r="E88" i="41"/>
  <c r="E94" i="41" s="1"/>
  <c r="AY86" i="41"/>
  <c r="AV86" i="41"/>
  <c r="AU86" i="41"/>
  <c r="AX86" i="41" s="1"/>
  <c r="AI86" i="41"/>
  <c r="AO86" i="41"/>
  <c r="AX85" i="41"/>
  <c r="AV85" i="41"/>
  <c r="AY85" i="41" s="1"/>
  <c r="AU85" i="41"/>
  <c r="AI85" i="41"/>
  <c r="BC85" i="41"/>
  <c r="AY84" i="41"/>
  <c r="AX84" i="41"/>
  <c r="AV84" i="41"/>
  <c r="AU84" i="41"/>
  <c r="BG84" i="41"/>
  <c r="AH84" i="41"/>
  <c r="AY83" i="41"/>
  <c r="AX83" i="41"/>
  <c r="AV83" i="41"/>
  <c r="AU83" i="41"/>
  <c r="BG83" i="41"/>
  <c r="AH83" i="41"/>
  <c r="AX82" i="41"/>
  <c r="AV82" i="41"/>
  <c r="AY82" i="41" s="1"/>
  <c r="AU82" i="41"/>
  <c r="AI82" i="41"/>
  <c r="AE82" i="41"/>
  <c r="AA82" i="41"/>
  <c r="H82" i="41"/>
  <c r="AP82" i="41"/>
  <c r="BC82" i="41"/>
  <c r="BC81" i="41"/>
  <c r="AV81" i="41"/>
  <c r="AY81" i="41" s="1"/>
  <c r="AU81" i="41"/>
  <c r="AX81" i="41" s="1"/>
  <c r="AI81" i="41"/>
  <c r="AH81" i="41"/>
  <c r="AE81" i="41"/>
  <c r="AD81" i="41"/>
  <c r="AA81" i="41"/>
  <c r="Z81" i="41"/>
  <c r="H81" i="41"/>
  <c r="G81" i="41"/>
  <c r="AP81" i="41"/>
  <c r="AO81" i="41"/>
  <c r="BG80" i="41"/>
  <c r="AV80" i="41"/>
  <c r="AY80" i="41" s="1"/>
  <c r="AU80" i="41"/>
  <c r="AX80" i="41" s="1"/>
  <c r="AI80" i="41"/>
  <c r="AH80" i="41"/>
  <c r="AE80" i="41"/>
  <c r="AD80" i="41"/>
  <c r="AA80" i="41"/>
  <c r="Z80" i="41"/>
  <c r="H80" i="41"/>
  <c r="G80" i="41"/>
  <c r="AP80" i="41"/>
  <c r="AO80" i="41"/>
  <c r="BC79" i="41"/>
  <c r="AY79" i="41"/>
  <c r="AV79" i="41"/>
  <c r="AU79" i="41"/>
  <c r="AX79" i="41" s="1"/>
  <c r="AH79" i="41"/>
  <c r="AD79" i="41"/>
  <c r="Z79" i="41"/>
  <c r="G79" i="41"/>
  <c r="AI79" i="41"/>
  <c r="AO79" i="41"/>
  <c r="AY78" i="41"/>
  <c r="AX78" i="41"/>
  <c r="AV78" i="41"/>
  <c r="AU78" i="41"/>
  <c r="AI78" i="41"/>
  <c r="BC78" i="41"/>
  <c r="AV77" i="41"/>
  <c r="AY77" i="41" s="1"/>
  <c r="AU77" i="41"/>
  <c r="AI77" i="41"/>
  <c r="AE77" i="41"/>
  <c r="AA77" i="41"/>
  <c r="H77" i="41"/>
  <c r="AP77" i="41"/>
  <c r="BC77" i="41"/>
  <c r="BC76" i="41"/>
  <c r="AV76" i="41"/>
  <c r="AY76" i="41" s="1"/>
  <c r="AU76" i="41"/>
  <c r="AX76" i="41" s="1"/>
  <c r="AI76" i="41"/>
  <c r="AH76" i="41"/>
  <c r="AE76" i="41"/>
  <c r="AD76" i="41"/>
  <c r="AA76" i="41"/>
  <c r="Z76" i="41"/>
  <c r="H76" i="41"/>
  <c r="G76" i="41"/>
  <c r="AP76" i="41"/>
  <c r="AO76" i="41"/>
  <c r="BC75" i="41"/>
  <c r="AY75" i="41"/>
  <c r="AV75" i="41"/>
  <c r="AU75" i="41"/>
  <c r="AX75" i="41" s="1"/>
  <c r="AH75" i="41"/>
  <c r="AD75" i="41"/>
  <c r="Z75" i="41"/>
  <c r="G75" i="41"/>
  <c r="AI75" i="41"/>
  <c r="AO75" i="41"/>
  <c r="AY74" i="41"/>
  <c r="AX74" i="41"/>
  <c r="AV74" i="41"/>
  <c r="AU74" i="41"/>
  <c r="Y74" i="41"/>
  <c r="AG74" i="41"/>
  <c r="AF74" i="41"/>
  <c r="AV73" i="41"/>
  <c r="AY73" i="41" s="1"/>
  <c r="AU73" i="41"/>
  <c r="AO73" i="41"/>
  <c r="AD73" i="41"/>
  <c r="Z73" i="41"/>
  <c r="G73" i="41"/>
  <c r="AY72" i="41"/>
  <c r="AX72" i="41"/>
  <c r="AV72" i="41"/>
  <c r="AU72" i="41"/>
  <c r="AP72" i="41"/>
  <c r="BC72" i="41"/>
  <c r="AX71" i="41"/>
  <c r="AV71" i="41"/>
  <c r="AY71" i="41" s="1"/>
  <c r="AU71" i="41"/>
  <c r="AI71" i="41"/>
  <c r="AE71" i="41"/>
  <c r="AA71" i="41"/>
  <c r="H71" i="41"/>
  <c r="AP71" i="41"/>
  <c r="AO71" i="41"/>
  <c r="BC70" i="41"/>
  <c r="AV70" i="41"/>
  <c r="AY70" i="41" s="1"/>
  <c r="AU70" i="41"/>
  <c r="AX70" i="41" s="1"/>
  <c r="AI70" i="41"/>
  <c r="AH70" i="41"/>
  <c r="AE70" i="41"/>
  <c r="AD70" i="41"/>
  <c r="AA70" i="41"/>
  <c r="Z70" i="41"/>
  <c r="H70" i="41"/>
  <c r="G70" i="41"/>
  <c r="AP70" i="41"/>
  <c r="AO70" i="41"/>
  <c r="BC69" i="41"/>
  <c r="AY69" i="41"/>
  <c r="AV69" i="41"/>
  <c r="AU69" i="41"/>
  <c r="AX69" i="41" s="1"/>
  <c r="AH69" i="41"/>
  <c r="AD69" i="41"/>
  <c r="Z69" i="41"/>
  <c r="G69" i="41"/>
  <c r="AI69" i="41"/>
  <c r="AO69" i="41"/>
  <c r="AV68" i="41"/>
  <c r="AU68" i="41"/>
  <c r="AX68" i="41" s="1"/>
  <c r="BG68" i="41"/>
  <c r="AH68" i="41"/>
  <c r="AV67" i="41"/>
  <c r="AY67" i="41" s="1"/>
  <c r="AU67" i="41"/>
  <c r="AP67" i="41"/>
  <c r="BC67" i="41"/>
  <c r="AX66" i="41"/>
  <c r="AV66" i="41"/>
  <c r="AY66" i="41" s="1"/>
  <c r="AU66" i="41"/>
  <c r="AI66" i="41"/>
  <c r="AE66" i="41"/>
  <c r="AA66" i="41"/>
  <c r="H66" i="41"/>
  <c r="AP66" i="41"/>
  <c r="AO66" i="41"/>
  <c r="BC65" i="41"/>
  <c r="AV65" i="41"/>
  <c r="AY65" i="41" s="1"/>
  <c r="AU65" i="41"/>
  <c r="AX65" i="41" s="1"/>
  <c r="AI65" i="41"/>
  <c r="AH65" i="41"/>
  <c r="AE65" i="41"/>
  <c r="AD65" i="41"/>
  <c r="AA65" i="41"/>
  <c r="Z65" i="41"/>
  <c r="H65" i="41"/>
  <c r="G65" i="41"/>
  <c r="AP65" i="41"/>
  <c r="AO65" i="41"/>
  <c r="AV64" i="41"/>
  <c r="AY64" i="41" s="1"/>
  <c r="AU64" i="41"/>
  <c r="AX64" i="41" s="1"/>
  <c r="AH64" i="41"/>
  <c r="AD64" i="41"/>
  <c r="Z64" i="41"/>
  <c r="G64" i="41"/>
  <c r="BG64" i="41"/>
  <c r="AO64" i="41"/>
  <c r="AY63" i="41"/>
  <c r="AX63" i="41"/>
  <c r="AV63" i="41"/>
  <c r="AU63" i="41"/>
  <c r="AI63" i="41"/>
  <c r="BC63" i="41"/>
  <c r="AV62" i="41"/>
  <c r="AY62" i="41" s="1"/>
  <c r="AU62" i="41"/>
  <c r="AI62" i="41"/>
  <c r="AE62" i="41"/>
  <c r="AA62" i="41"/>
  <c r="H62" i="41"/>
  <c r="AP62" i="41"/>
  <c r="BC62" i="41"/>
  <c r="AV61" i="41"/>
  <c r="AY61" i="41" s="1"/>
  <c r="AU61" i="41"/>
  <c r="AX61" i="41" s="1"/>
  <c r="AI61" i="41"/>
  <c r="AE61" i="41"/>
  <c r="AA61" i="41"/>
  <c r="H61" i="41"/>
  <c r="G61" i="41"/>
  <c r="AP61" i="41"/>
  <c r="AO61" i="41"/>
  <c r="BC60" i="41"/>
  <c r="AY60" i="41"/>
  <c r="AV60" i="41"/>
  <c r="AU60" i="41"/>
  <c r="AX60" i="41" s="1"/>
  <c r="AH60" i="41"/>
  <c r="AD60" i="41"/>
  <c r="Z60" i="41"/>
  <c r="G60" i="41"/>
  <c r="AI60" i="41"/>
  <c r="AO60" i="41"/>
  <c r="AY59" i="41"/>
  <c r="AV59" i="41"/>
  <c r="AU59" i="41"/>
  <c r="AI59" i="41"/>
  <c r="BC59" i="41"/>
  <c r="AX58" i="41"/>
  <c r="AV58" i="41"/>
  <c r="AY58" i="41" s="1"/>
  <c r="AU58" i="41"/>
  <c r="AI58" i="41"/>
  <c r="AE58" i="41"/>
  <c r="AA58" i="41"/>
  <c r="H58" i="41"/>
  <c r="AP58" i="41"/>
  <c r="BC58" i="41"/>
  <c r="BC57" i="41"/>
  <c r="AV57" i="41"/>
  <c r="AY57" i="41" s="1"/>
  <c r="AU57" i="41"/>
  <c r="AX57" i="41" s="1"/>
  <c r="AI57" i="41"/>
  <c r="AH57" i="41"/>
  <c r="AE57" i="41"/>
  <c r="AD57" i="41"/>
  <c r="AA57" i="41"/>
  <c r="Z57" i="41"/>
  <c r="H57" i="41"/>
  <c r="G57" i="41"/>
  <c r="AP57" i="41"/>
  <c r="AO57" i="41"/>
  <c r="AY56" i="41"/>
  <c r="AV56" i="41"/>
  <c r="AU56" i="41"/>
  <c r="AX56" i="41" s="1"/>
  <c r="AI56" i="41"/>
  <c r="AO56" i="41"/>
  <c r="AX55" i="41"/>
  <c r="AV55" i="41"/>
  <c r="AY55" i="41" s="1"/>
  <c r="AU55" i="41"/>
  <c r="AF55" i="41"/>
  <c r="AE55" i="41"/>
  <c r="AB55" i="41"/>
  <c r="X55" i="41"/>
  <c r="H55" i="41"/>
  <c r="AA55" i="41"/>
  <c r="AV54" i="41"/>
  <c r="AY54" i="41" s="1"/>
  <c r="AU54" i="41"/>
  <c r="AI54" i="41"/>
  <c r="AE54" i="41"/>
  <c r="AA54" i="41"/>
  <c r="H54" i="41"/>
  <c r="AP54" i="41"/>
  <c r="BC54" i="41"/>
  <c r="AV53" i="41"/>
  <c r="AY53" i="41" s="1"/>
  <c r="AU53" i="41"/>
  <c r="AP53" i="41"/>
  <c r="AG53" i="41"/>
  <c r="AE53" i="41"/>
  <c r="AA53" i="41"/>
  <c r="H53" i="41"/>
  <c r="AC53" i="41"/>
  <c r="BC53" i="41"/>
  <c r="AV52" i="41"/>
  <c r="AY52" i="41" s="1"/>
  <c r="AU52" i="41"/>
  <c r="AX52" i="41" s="1"/>
  <c r="AI52" i="41"/>
  <c r="AE52" i="41"/>
  <c r="AA52" i="41"/>
  <c r="H52" i="41"/>
  <c r="AP52" i="41"/>
  <c r="AO52" i="41"/>
  <c r="BC51" i="41"/>
  <c r="AV51" i="41"/>
  <c r="AY51" i="41" s="1"/>
  <c r="AU51" i="41"/>
  <c r="AX51" i="41" s="1"/>
  <c r="AH51" i="41"/>
  <c r="AD51" i="41"/>
  <c r="Z51" i="41"/>
  <c r="G51" i="41"/>
  <c r="AI51" i="41"/>
  <c r="AO51" i="41"/>
  <c r="AY50" i="41"/>
  <c r="AX50" i="41"/>
  <c r="AV50" i="41"/>
  <c r="AU50" i="41"/>
  <c r="AP50" i="41"/>
  <c r="BC50" i="41"/>
  <c r="AX49" i="41"/>
  <c r="AV49" i="41"/>
  <c r="AY49" i="41" s="1"/>
  <c r="AU49" i="41"/>
  <c r="AI49" i="41"/>
  <c r="AE49" i="41"/>
  <c r="AA49" i="41"/>
  <c r="H49" i="41"/>
  <c r="AP49" i="41"/>
  <c r="AO49" i="41"/>
  <c r="AX48" i="41"/>
  <c r="AV48" i="41"/>
  <c r="AY48" i="41" s="1"/>
  <c r="AU48" i="41"/>
  <c r="AP48" i="41"/>
  <c r="AO48" i="41"/>
  <c r="AY47" i="41"/>
  <c r="AX47" i="41"/>
  <c r="AV47" i="41"/>
  <c r="AU47" i="41"/>
  <c r="AP47" i="41"/>
  <c r="AB47" i="41"/>
  <c r="AX46" i="41"/>
  <c r="AV46" i="41"/>
  <c r="AY46" i="41" s="1"/>
  <c r="AU46" i="41"/>
  <c r="AI46" i="41"/>
  <c r="AE46" i="41"/>
  <c r="AA46" i="41"/>
  <c r="H46" i="41"/>
  <c r="AP46" i="41"/>
  <c r="AO46" i="41"/>
  <c r="BC45" i="41"/>
  <c r="AV45" i="41"/>
  <c r="AY45" i="41" s="1"/>
  <c r="AU45" i="41"/>
  <c r="AX45" i="41" s="1"/>
  <c r="AI45" i="41"/>
  <c r="AH45" i="41"/>
  <c r="AE45" i="41"/>
  <c r="AD45" i="41"/>
  <c r="AA45" i="41"/>
  <c r="Z45" i="41"/>
  <c r="H45" i="41"/>
  <c r="G45" i="41"/>
  <c r="AP45" i="41"/>
  <c r="AO45" i="41"/>
  <c r="BG44" i="41"/>
  <c r="BC44" i="41"/>
  <c r="AV44" i="41"/>
  <c r="AY44" i="41" s="1"/>
  <c r="AU44" i="41"/>
  <c r="AX44" i="41" s="1"/>
  <c r="AI44" i="41"/>
  <c r="AH44" i="41"/>
  <c r="AE44" i="41"/>
  <c r="AD44" i="41"/>
  <c r="AA44" i="41"/>
  <c r="Z44" i="41"/>
  <c r="H44" i="41"/>
  <c r="G44" i="41"/>
  <c r="AP44" i="41"/>
  <c r="AO44" i="41"/>
  <c r="AY43" i="41"/>
  <c r="AV43" i="41"/>
  <c r="AU43" i="41"/>
  <c r="AX43" i="41" s="1"/>
  <c r="AH43" i="41"/>
  <c r="AF43" i="41"/>
  <c r="Z43" i="41"/>
  <c r="X43" i="41"/>
  <c r="AO43" i="41"/>
  <c r="AX42" i="41"/>
  <c r="AV42" i="41"/>
  <c r="AY42" i="41" s="1"/>
  <c r="AU42" i="41"/>
  <c r="AI42" i="41"/>
  <c r="AC42" i="41"/>
  <c r="X42" i="41"/>
  <c r="AG42" i="41"/>
  <c r="BG41" i="41"/>
  <c r="AX41" i="41"/>
  <c r="AV41" i="41"/>
  <c r="AY41" i="41" s="1"/>
  <c r="AU41" i="41"/>
  <c r="AG41" i="41"/>
  <c r="AB41" i="41"/>
  <c r="H41" i="41"/>
  <c r="BC41" i="41"/>
  <c r="X41" i="41"/>
  <c r="AY40" i="41"/>
  <c r="AX40" i="41"/>
  <c r="AV40" i="41"/>
  <c r="AU40" i="41"/>
  <c r="AF40" i="41"/>
  <c r="BC40" i="41"/>
  <c r="X40" i="41"/>
  <c r="AV39" i="41"/>
  <c r="AY39" i="41" s="1"/>
  <c r="AU39" i="41"/>
  <c r="AX39" i="41" s="1"/>
  <c r="AI39" i="41"/>
  <c r="AH39" i="41"/>
  <c r="AF39" i="41"/>
  <c r="AE39" i="41"/>
  <c r="AB39" i="41"/>
  <c r="AA39" i="41"/>
  <c r="H39" i="41"/>
  <c r="G39" i="41"/>
  <c r="AP39" i="41"/>
  <c r="BC39" i="41"/>
  <c r="BC38" i="41"/>
  <c r="AY38" i="41"/>
  <c r="AV38" i="41"/>
  <c r="AU38" i="41"/>
  <c r="AX38" i="41" s="1"/>
  <c r="AP38" i="41"/>
  <c r="AH38" i="41"/>
  <c r="AD38" i="41"/>
  <c r="Z38" i="41"/>
  <c r="G38" i="41"/>
  <c r="AO38" i="41"/>
  <c r="AY37" i="41"/>
  <c r="AX37" i="41"/>
  <c r="AV37" i="41"/>
  <c r="AU37" i="41"/>
  <c r="AO37" i="41"/>
  <c r="AD37" i="41"/>
  <c r="Y37" i="41"/>
  <c r="AH37" i="41"/>
  <c r="AX36" i="41"/>
  <c r="AV36" i="41"/>
  <c r="AY36" i="41" s="1"/>
  <c r="AU36" i="41"/>
  <c r="AO36" i="41"/>
  <c r="AI36" i="41"/>
  <c r="AF36" i="41"/>
  <c r="AE36" i="41"/>
  <c r="AB36" i="41"/>
  <c r="AA36" i="41"/>
  <c r="X36" i="41"/>
  <c r="H36" i="41"/>
  <c r="AP36" i="41"/>
  <c r="BC35" i="41"/>
  <c r="AV35" i="41"/>
  <c r="AY35" i="41" s="1"/>
  <c r="AU35" i="41"/>
  <c r="AX35" i="41" s="1"/>
  <c r="AI35" i="41"/>
  <c r="AH35" i="41"/>
  <c r="AE35" i="41"/>
  <c r="AD35" i="41"/>
  <c r="AA35" i="41"/>
  <c r="Z35" i="41"/>
  <c r="H35" i="41"/>
  <c r="G35" i="41"/>
  <c r="AP35" i="41"/>
  <c r="AO35" i="41"/>
  <c r="BC34" i="41"/>
  <c r="AY34" i="41"/>
  <c r="AV34" i="41"/>
  <c r="AU34" i="41"/>
  <c r="AX34" i="41" s="1"/>
  <c r="AH34" i="41"/>
  <c r="AD34" i="41"/>
  <c r="Z34" i="41"/>
  <c r="G34" i="41"/>
  <c r="AP34" i="41"/>
  <c r="AO34" i="41"/>
  <c r="AY33" i="41"/>
  <c r="AX33" i="41"/>
  <c r="AV33" i="41"/>
  <c r="AU33" i="41"/>
  <c r="AG33" i="41"/>
  <c r="Y33" i="41"/>
  <c r="AC33" i="41"/>
  <c r="AO33" i="41"/>
  <c r="AV32" i="41"/>
  <c r="AY32" i="41" s="1"/>
  <c r="AU32" i="41"/>
  <c r="AO32" i="41"/>
  <c r="AI32" i="41"/>
  <c r="AF32" i="41"/>
  <c r="AE32" i="41"/>
  <c r="AB32" i="41"/>
  <c r="AA32" i="41"/>
  <c r="X32" i="41"/>
  <c r="H32" i="41"/>
  <c r="AP32" i="41"/>
  <c r="BC31" i="41"/>
  <c r="AV31" i="41"/>
  <c r="AY31" i="41" s="1"/>
  <c r="AU31" i="41"/>
  <c r="AX31" i="41" s="1"/>
  <c r="AI31" i="41"/>
  <c r="AH31" i="41"/>
  <c r="AE31" i="41"/>
  <c r="AD31" i="41"/>
  <c r="AA31" i="41"/>
  <c r="Z31" i="41"/>
  <c r="H31" i="41"/>
  <c r="G31" i="41"/>
  <c r="AP31" i="41"/>
  <c r="AO31" i="41"/>
  <c r="BC30" i="41"/>
  <c r="AY30" i="41"/>
  <c r="AV30" i="41"/>
  <c r="AU30" i="41"/>
  <c r="AX30" i="41" s="1"/>
  <c r="AH30" i="41"/>
  <c r="AD30" i="41"/>
  <c r="Z30" i="41"/>
  <c r="G30" i="41"/>
  <c r="AG30" i="41"/>
  <c r="AO30" i="41"/>
  <c r="AY29" i="41"/>
  <c r="AV29" i="41"/>
  <c r="AU29" i="41"/>
  <c r="AX29" i="41" s="1"/>
  <c r="AH29" i="41"/>
  <c r="AD29" i="41"/>
  <c r="Z29" i="41"/>
  <c r="G29" i="41"/>
  <c r="AO29" i="41"/>
  <c r="AY28" i="41"/>
  <c r="AX28" i="41"/>
  <c r="AV28" i="41"/>
  <c r="AU28" i="41"/>
  <c r="AG28" i="41"/>
  <c r="AF28" i="41"/>
  <c r="Y28" i="41"/>
  <c r="X28" i="41"/>
  <c r="AY27" i="41"/>
  <c r="AX27" i="41"/>
  <c r="AV27" i="41"/>
  <c r="AU27" i="41"/>
  <c r="AX26" i="41"/>
  <c r="AV26" i="41"/>
  <c r="AY26" i="41" s="1"/>
  <c r="AU26" i="41"/>
  <c r="AO26" i="41"/>
  <c r="AI26" i="41"/>
  <c r="AF26" i="41"/>
  <c r="AE26" i="41"/>
  <c r="AB26" i="41"/>
  <c r="AA26" i="41"/>
  <c r="X26" i="41"/>
  <c r="H26" i="41"/>
  <c r="AP26" i="41"/>
  <c r="BC25" i="41"/>
  <c r="AV25" i="41"/>
  <c r="AY25" i="41" s="1"/>
  <c r="AU25" i="41"/>
  <c r="AX25" i="41" s="1"/>
  <c r="AI25" i="41"/>
  <c r="AH25" i="41"/>
  <c r="AE25" i="41"/>
  <c r="AD25" i="41"/>
  <c r="AA25" i="41"/>
  <c r="Z25" i="41"/>
  <c r="H25" i="41"/>
  <c r="G25" i="41"/>
  <c r="AP25" i="41"/>
  <c r="AO25" i="41"/>
  <c r="BC24" i="41"/>
  <c r="AY24" i="41"/>
  <c r="AV24" i="41"/>
  <c r="AU24" i="41"/>
  <c r="AX24" i="41" s="1"/>
  <c r="AH24" i="41"/>
  <c r="AD24" i="41"/>
  <c r="Z24" i="41"/>
  <c r="G24" i="41"/>
  <c r="AO24" i="41"/>
  <c r="AY23" i="41"/>
  <c r="AV23" i="41"/>
  <c r="AU23" i="41"/>
  <c r="AX23" i="41" s="1"/>
  <c r="AD23" i="41"/>
  <c r="Z23" i="41"/>
  <c r="G23" i="41"/>
  <c r="AC23" i="41"/>
  <c r="AY22" i="41"/>
  <c r="AX22" i="41"/>
  <c r="AV22" i="41"/>
  <c r="AU22" i="41"/>
  <c r="AI22" i="41"/>
  <c r="BC22" i="41"/>
  <c r="AX21" i="41"/>
  <c r="AV21" i="41"/>
  <c r="AY21" i="41" s="1"/>
  <c r="AU21" i="41"/>
  <c r="AI21" i="41"/>
  <c r="AE21" i="41"/>
  <c r="AA21" i="41"/>
  <c r="H21" i="41"/>
  <c r="AP21" i="41"/>
  <c r="BC21" i="41"/>
  <c r="BC20" i="41"/>
  <c r="AV20" i="41"/>
  <c r="AY20" i="41" s="1"/>
  <c r="AU20" i="41"/>
  <c r="AX20" i="41" s="1"/>
  <c r="AI20" i="41"/>
  <c r="AH20" i="41"/>
  <c r="AE20" i="41"/>
  <c r="AD20" i="41"/>
  <c r="AA20" i="41"/>
  <c r="Z20" i="41"/>
  <c r="H20" i="41"/>
  <c r="G20" i="41"/>
  <c r="AP20" i="41"/>
  <c r="AO20" i="41"/>
  <c r="BC19" i="41"/>
  <c r="AY19" i="41"/>
  <c r="AV19" i="41"/>
  <c r="AU19" i="41"/>
  <c r="AX19" i="41" s="1"/>
  <c r="AH19" i="41"/>
  <c r="AD19" i="41"/>
  <c r="Z19" i="41"/>
  <c r="G19" i="41"/>
  <c r="AI19" i="41"/>
  <c r="AO19" i="41"/>
  <c r="AY18" i="41"/>
  <c r="AX18" i="41"/>
  <c r="AV18" i="41"/>
  <c r="AU18" i="41"/>
  <c r="AI18" i="41"/>
  <c r="BC18" i="41"/>
  <c r="AX17" i="41"/>
  <c r="AV17" i="41"/>
  <c r="AY17" i="41" s="1"/>
  <c r="AU17" i="41"/>
  <c r="AI17" i="41"/>
  <c r="AE17" i="41"/>
  <c r="AA17" i="41"/>
  <c r="H17" i="41"/>
  <c r="AP17" i="41"/>
  <c r="BC17" i="41"/>
  <c r="BC16" i="41"/>
  <c r="AV16" i="41"/>
  <c r="AY16" i="41" s="1"/>
  <c r="AU16" i="41"/>
  <c r="AX16" i="41" s="1"/>
  <c r="AI16" i="41"/>
  <c r="AH16" i="41"/>
  <c r="AE16" i="41"/>
  <c r="AD16" i="41"/>
  <c r="AA16" i="41"/>
  <c r="Z16" i="41"/>
  <c r="H16" i="41"/>
  <c r="G16" i="41"/>
  <c r="AP16" i="41"/>
  <c r="AO16" i="41"/>
  <c r="BC15" i="41"/>
  <c r="AY15" i="41"/>
  <c r="AV15" i="41"/>
  <c r="AU15" i="41"/>
  <c r="AX15" i="41" s="1"/>
  <c r="AH15" i="41"/>
  <c r="AD15" i="41"/>
  <c r="Z15" i="41"/>
  <c r="G15" i="41"/>
  <c r="AG15" i="41"/>
  <c r="AO15" i="41"/>
  <c r="AY14" i="41"/>
  <c r="AX14" i="41"/>
  <c r="AV14" i="41"/>
  <c r="AU14" i="41"/>
  <c r="AI14" i="41"/>
  <c r="BC14" i="41"/>
  <c r="AX13" i="41"/>
  <c r="AV13" i="41"/>
  <c r="AY13" i="41" s="1"/>
  <c r="AU13" i="41"/>
  <c r="AI13" i="41"/>
  <c r="AE13" i="41"/>
  <c r="AA13" i="41"/>
  <c r="H13" i="41"/>
  <c r="AP13" i="41"/>
  <c r="BC13" i="41"/>
  <c r="BC12" i="41"/>
  <c r="AV12" i="41"/>
  <c r="AY12" i="41" s="1"/>
  <c r="AU12" i="41"/>
  <c r="AX12" i="41" s="1"/>
  <c r="AI12" i="41"/>
  <c r="AH12" i="41"/>
  <c r="AE12" i="41"/>
  <c r="AD12" i="41"/>
  <c r="AA12" i="41"/>
  <c r="Z12" i="41"/>
  <c r="H12" i="41"/>
  <c r="G12" i="41"/>
  <c r="AP12" i="41"/>
  <c r="AO12" i="41"/>
  <c r="BC11" i="41"/>
  <c r="AY11" i="41"/>
  <c r="AV11" i="41"/>
  <c r="AU11" i="41"/>
  <c r="AX11" i="41" s="1"/>
  <c r="AH11" i="41"/>
  <c r="AD11" i="41"/>
  <c r="Z11" i="41"/>
  <c r="G11" i="41"/>
  <c r="AG11" i="41"/>
  <c r="AO11" i="41"/>
  <c r="AY10" i="41"/>
  <c r="AV10" i="41"/>
  <c r="AU10" i="41"/>
  <c r="AI10" i="41"/>
  <c r="AX10" i="41"/>
  <c r="AX9" i="41"/>
  <c r="AV9" i="41"/>
  <c r="AY9" i="41" s="1"/>
  <c r="AU9" i="41"/>
  <c r="AI9" i="41"/>
  <c r="AE9" i="41"/>
  <c r="AA9" i="41"/>
  <c r="H9" i="41"/>
  <c r="AP9" i="41"/>
  <c r="BC9" i="41"/>
  <c r="BC8" i="41"/>
  <c r="AV8" i="41"/>
  <c r="AY8" i="41" s="1"/>
  <c r="AU8" i="41"/>
  <c r="AX8" i="41" s="1"/>
  <c r="AI8" i="41"/>
  <c r="AH8" i="41"/>
  <c r="AE8" i="41"/>
  <c r="AD8" i="41"/>
  <c r="AA8" i="41"/>
  <c r="Z8" i="41"/>
  <c r="H8" i="41"/>
  <c r="G8" i="41"/>
  <c r="AP8" i="41"/>
  <c r="AO8" i="41"/>
  <c r="BC7" i="41"/>
  <c r="AY7" i="41"/>
  <c r="AV7" i="41"/>
  <c r="AU7" i="41"/>
  <c r="AX7" i="41" s="1"/>
  <c r="AH7" i="41"/>
  <c r="AD7" i="41"/>
  <c r="Z7" i="41"/>
  <c r="G7" i="41"/>
  <c r="AG7" i="41"/>
  <c r="AO7" i="41"/>
  <c r="AY6" i="41"/>
  <c r="AV6" i="41"/>
  <c r="AU6" i="41"/>
  <c r="AI6" i="41"/>
  <c r="BC6" i="41"/>
  <c r="AX5" i="41"/>
  <c r="AV5" i="41"/>
  <c r="AY5" i="41" s="1"/>
  <c r="AU5" i="41"/>
  <c r="AI5" i="41"/>
  <c r="AE5" i="41"/>
  <c r="AA5" i="41"/>
  <c r="H5" i="41"/>
  <c r="AG5" i="41"/>
  <c r="BC5" i="41"/>
  <c r="BC4" i="41"/>
  <c r="AV4" i="41"/>
  <c r="AY4" i="41" s="1"/>
  <c r="AU4" i="41"/>
  <c r="AX4" i="41" s="1"/>
  <c r="AI4" i="41"/>
  <c r="AH4" i="41"/>
  <c r="AE4" i="41"/>
  <c r="AD4" i="41"/>
  <c r="AA4" i="41"/>
  <c r="Z4" i="41"/>
  <c r="H4" i="41"/>
  <c r="G4" i="41"/>
  <c r="AP4" i="41"/>
  <c r="AO4" i="41"/>
  <c r="BC3" i="41"/>
  <c r="AY3" i="41"/>
  <c r="AV3" i="41"/>
  <c r="AU3" i="41"/>
  <c r="AH3" i="41"/>
  <c r="AD3" i="41"/>
  <c r="Z3" i="41"/>
  <c r="G3" i="41"/>
  <c r="D88" i="41"/>
  <c r="D94" i="41" s="1"/>
  <c r="AC3" i="41" l="1"/>
  <c r="X6" i="41"/>
  <c r="AO6" i="41"/>
  <c r="AC7" i="41"/>
  <c r="AF10" i="41"/>
  <c r="Y11" i="41"/>
  <c r="AF14" i="41"/>
  <c r="Y15" i="41"/>
  <c r="AP15" i="41"/>
  <c r="X18" i="41"/>
  <c r="AB18" i="41"/>
  <c r="AF18" i="41"/>
  <c r="AO18" i="41"/>
  <c r="Y19" i="41"/>
  <c r="AC19" i="41"/>
  <c r="AG19" i="41"/>
  <c r="AP19" i="41"/>
  <c r="X22" i="41"/>
  <c r="AB22" i="41"/>
  <c r="AF22" i="41"/>
  <c r="AO22" i="41"/>
  <c r="Y23" i="41"/>
  <c r="AI23" i="41"/>
  <c r="AI24" i="41"/>
  <c r="AE24" i="41"/>
  <c r="AA24" i="41"/>
  <c r="AH27" i="41"/>
  <c r="AD27" i="41"/>
  <c r="Z27" i="41"/>
  <c r="G27" i="41"/>
  <c r="AB27" i="41"/>
  <c r="AO27" i="41"/>
  <c r="Y3" i="41"/>
  <c r="AP3" i="41"/>
  <c r="AX6" i="41"/>
  <c r="AP7" i="41"/>
  <c r="AB10" i="41"/>
  <c r="AO10" i="41"/>
  <c r="AC11" i="41"/>
  <c r="AB14" i="41"/>
  <c r="AO14" i="41"/>
  <c r="X5" i="41"/>
  <c r="AB5" i="41"/>
  <c r="AF5" i="41"/>
  <c r="AO5" i="41"/>
  <c r="Y6" i="41"/>
  <c r="AC6" i="41"/>
  <c r="AG6" i="41"/>
  <c r="AP6" i="41"/>
  <c r="X9" i="41"/>
  <c r="AB9" i="41"/>
  <c r="AF9" i="41"/>
  <c r="AO9" i="41"/>
  <c r="Y10" i="41"/>
  <c r="AC10" i="41"/>
  <c r="AG10" i="41"/>
  <c r="AP10" i="41"/>
  <c r="X13" i="41"/>
  <c r="AB13" i="41"/>
  <c r="AF13" i="41"/>
  <c r="AO13" i="41"/>
  <c r="Y14" i="41"/>
  <c r="AC14" i="41"/>
  <c r="AG14" i="41"/>
  <c r="AP14" i="41"/>
  <c r="X17" i="41"/>
  <c r="AB17" i="41"/>
  <c r="AF17" i="41"/>
  <c r="AO17" i="41"/>
  <c r="Y18" i="41"/>
  <c r="AC18" i="41"/>
  <c r="AG18" i="41"/>
  <c r="AP18" i="41"/>
  <c r="X21" i="41"/>
  <c r="AB21" i="41"/>
  <c r="AF21" i="41"/>
  <c r="AO21" i="41"/>
  <c r="Y22" i="41"/>
  <c r="AC22" i="41"/>
  <c r="AG22" i="41"/>
  <c r="AP22" i="41"/>
  <c r="AE23" i="41"/>
  <c r="AP23" i="41"/>
  <c r="BC23" i="41"/>
  <c r="AC24" i="41"/>
  <c r="AP24" i="41"/>
  <c r="BG27" i="41"/>
  <c r="AI27" i="41"/>
  <c r="AE27" i="41"/>
  <c r="AA27" i="41"/>
  <c r="H27" i="41"/>
  <c r="BC27" i="41"/>
  <c r="AC27" i="41"/>
  <c r="AP27" i="41"/>
  <c r="BG29" i="41"/>
  <c r="AI29" i="41"/>
  <c r="AE29" i="41"/>
  <c r="AA29" i="41"/>
  <c r="H29" i="41"/>
  <c r="AC29" i="41"/>
  <c r="AP29" i="41"/>
  <c r="BC29" i="41"/>
  <c r="Y30" i="41"/>
  <c r="BC32" i="41"/>
  <c r="AH32" i="41"/>
  <c r="AD32" i="41"/>
  <c r="Z32" i="41"/>
  <c r="G32" i="41"/>
  <c r="AX32" i="41"/>
  <c r="AI37" i="41"/>
  <c r="AE37" i="41"/>
  <c r="AA37" i="41"/>
  <c r="AC37" i="41"/>
  <c r="AG37" i="41"/>
  <c r="H37" i="41"/>
  <c r="AP37" i="41"/>
  <c r="AG3" i="41"/>
  <c r="AB6" i="41"/>
  <c r="AF6" i="41"/>
  <c r="Y7" i="41"/>
  <c r="AP11" i="41"/>
  <c r="X14" i="41"/>
  <c r="AC15" i="41"/>
  <c r="AU88" i="41"/>
  <c r="H3" i="41"/>
  <c r="AE3" i="41"/>
  <c r="AC5" i="41"/>
  <c r="AP5" i="41"/>
  <c r="G6" i="41"/>
  <c r="Z6" i="41"/>
  <c r="AD6" i="41"/>
  <c r="AH6" i="41"/>
  <c r="H7" i="41"/>
  <c r="AA7" i="41"/>
  <c r="AE7" i="41"/>
  <c r="AI7" i="41"/>
  <c r="X8" i="41"/>
  <c r="AB8" i="41"/>
  <c r="AF8" i="41"/>
  <c r="Y9" i="41"/>
  <c r="AC9" i="41"/>
  <c r="AG9" i="41"/>
  <c r="G10" i="41"/>
  <c r="Z10" i="41"/>
  <c r="AD10" i="41"/>
  <c r="AH10" i="41"/>
  <c r="BC10" i="41"/>
  <c r="H11" i="41"/>
  <c r="AA11" i="41"/>
  <c r="AE11" i="41"/>
  <c r="AI11" i="41"/>
  <c r="X12" i="41"/>
  <c r="AB12" i="41"/>
  <c r="AF12" i="41"/>
  <c r="Y13" i="41"/>
  <c r="AC13" i="41"/>
  <c r="AG13" i="41"/>
  <c r="G14" i="41"/>
  <c r="Z14" i="41"/>
  <c r="AD14" i="41"/>
  <c r="AH14" i="41"/>
  <c r="H15" i="41"/>
  <c r="AA15" i="41"/>
  <c r="AE15" i="41"/>
  <c r="AI15" i="41"/>
  <c r="X16" i="41"/>
  <c r="AB16" i="41"/>
  <c r="AF16" i="41"/>
  <c r="Y17" i="41"/>
  <c r="AC17" i="41"/>
  <c r="AG17" i="41"/>
  <c r="G18" i="41"/>
  <c r="Z18" i="41"/>
  <c r="AD18" i="41"/>
  <c r="AH18" i="41"/>
  <c r="H19" i="41"/>
  <c r="AA19" i="41"/>
  <c r="AE19" i="41"/>
  <c r="X20" i="41"/>
  <c r="AB20" i="41"/>
  <c r="AF20" i="41"/>
  <c r="Y21" i="41"/>
  <c r="AC21" i="41"/>
  <c r="AG21" i="41"/>
  <c r="G22" i="41"/>
  <c r="Z22" i="41"/>
  <c r="AD22" i="41"/>
  <c r="AH22" i="41"/>
  <c r="H23" i="41"/>
  <c r="AA23" i="41"/>
  <c r="AG23" i="41"/>
  <c r="BG23" i="41"/>
  <c r="H24" i="41"/>
  <c r="X27" i="41"/>
  <c r="AF27" i="41"/>
  <c r="BC28" i="41"/>
  <c r="AH28" i="41"/>
  <c r="AD28" i="41"/>
  <c r="Z28" i="41"/>
  <c r="G28" i="41"/>
  <c r="AB28" i="41"/>
  <c r="AO28" i="41"/>
  <c r="AI38" i="41"/>
  <c r="Y38" i="41"/>
  <c r="AC38" i="41"/>
  <c r="H38" i="41"/>
  <c r="AG38" i="41"/>
  <c r="AA38" i="41"/>
  <c r="AE38" i="41"/>
  <c r="X10" i="41"/>
  <c r="AA3" i="41"/>
  <c r="AI3" i="41"/>
  <c r="X4" i="41"/>
  <c r="AB4" i="41"/>
  <c r="AF4" i="41"/>
  <c r="Y5" i="41"/>
  <c r="C88" i="41"/>
  <c r="C94" i="41" s="1"/>
  <c r="X3" i="41"/>
  <c r="AB3" i="41"/>
  <c r="AF3" i="41"/>
  <c r="AO3" i="41"/>
  <c r="AX3" i="41"/>
  <c r="Y4" i="41"/>
  <c r="AC4" i="41"/>
  <c r="AG4" i="41"/>
  <c r="G5" i="41"/>
  <c r="Z5" i="41"/>
  <c r="AD5" i="41"/>
  <c r="AH5" i="41"/>
  <c r="H6" i="41"/>
  <c r="AA6" i="41"/>
  <c r="AE6" i="41"/>
  <c r="X7" i="41"/>
  <c r="AB7" i="41"/>
  <c r="AF7" i="41"/>
  <c r="Y8" i="41"/>
  <c r="AC8" i="41"/>
  <c r="AG8" i="41"/>
  <c r="G9" i="41"/>
  <c r="Z9" i="41"/>
  <c r="AD9" i="41"/>
  <c r="AH9" i="41"/>
  <c r="H10" i="41"/>
  <c r="AA10" i="41"/>
  <c r="AE10" i="41"/>
  <c r="X11" i="41"/>
  <c r="AB11" i="41"/>
  <c r="AF11" i="41"/>
  <c r="Y12" i="41"/>
  <c r="AC12" i="41"/>
  <c r="AG12" i="41"/>
  <c r="G13" i="41"/>
  <c r="Z13" i="41"/>
  <c r="AD13" i="41"/>
  <c r="AH13" i="41"/>
  <c r="H14" i="41"/>
  <c r="AA14" i="41"/>
  <c r="AE14" i="41"/>
  <c r="X15" i="41"/>
  <c r="AB15" i="41"/>
  <c r="AF15" i="41"/>
  <c r="Y16" i="41"/>
  <c r="AC16" i="41"/>
  <c r="AG16" i="41"/>
  <c r="G17" i="41"/>
  <c r="Z17" i="41"/>
  <c r="AD17" i="41"/>
  <c r="AH17" i="41"/>
  <c r="H18" i="41"/>
  <c r="AA18" i="41"/>
  <c r="AE18" i="41"/>
  <c r="X19" i="41"/>
  <c r="AB19" i="41"/>
  <c r="AF19" i="41"/>
  <c r="Y20" i="41"/>
  <c r="AC20" i="41"/>
  <c r="AG20" i="41"/>
  <c r="G21" i="41"/>
  <c r="Z21" i="41"/>
  <c r="AD21" i="41"/>
  <c r="AH21" i="41"/>
  <c r="H22" i="41"/>
  <c r="AA22" i="41"/>
  <c r="AE22" i="41"/>
  <c r="AO23" i="41"/>
  <c r="AF23" i="41"/>
  <c r="AB23" i="41"/>
  <c r="X23" i="41"/>
  <c r="AH23" i="41"/>
  <c r="Y24" i="41"/>
  <c r="AG24" i="41"/>
  <c r="BC26" i="41"/>
  <c r="AH26" i="41"/>
  <c r="AD26" i="41"/>
  <c r="Z26" i="41"/>
  <c r="G26" i="41"/>
  <c r="Y27" i="41"/>
  <c r="AG27" i="41"/>
  <c r="AI28" i="41"/>
  <c r="AE28" i="41"/>
  <c r="AA28" i="41"/>
  <c r="H28" i="41"/>
  <c r="AC28" i="41"/>
  <c r="AP28" i="41"/>
  <c r="Y29" i="41"/>
  <c r="AG29" i="41"/>
  <c r="AI30" i="41"/>
  <c r="AE30" i="41"/>
  <c r="AA30" i="41"/>
  <c r="H30" i="41"/>
  <c r="AC30" i="41"/>
  <c r="AP30" i="41"/>
  <c r="AI33" i="41"/>
  <c r="AE33" i="41"/>
  <c r="AA33" i="41"/>
  <c r="H33" i="41"/>
  <c r="AP33" i="41"/>
  <c r="BC36" i="41"/>
  <c r="AH36" i="41"/>
  <c r="AD36" i="41"/>
  <c r="Z36" i="41"/>
  <c r="G36" i="41"/>
  <c r="AA40" i="41"/>
  <c r="AP40" i="41"/>
  <c r="AI43" i="41"/>
  <c r="AE43" i="41"/>
  <c r="AA43" i="41"/>
  <c r="H43" i="41"/>
  <c r="AP43" i="41"/>
  <c r="X47" i="41"/>
  <c r="X25" i="41"/>
  <c r="AB25" i="41"/>
  <c r="AF25" i="41"/>
  <c r="Y26" i="41"/>
  <c r="AC26" i="41"/>
  <c r="AG26" i="41"/>
  <c r="X31" i="41"/>
  <c r="AB31" i="41"/>
  <c r="AF31" i="41"/>
  <c r="Y32" i="41"/>
  <c r="AC32" i="41"/>
  <c r="AG32" i="41"/>
  <c r="G33" i="41"/>
  <c r="Z33" i="41"/>
  <c r="AD33" i="41"/>
  <c r="AH33" i="41"/>
  <c r="BC33" i="41"/>
  <c r="H34" i="41"/>
  <c r="AA34" i="41"/>
  <c r="AE34" i="41"/>
  <c r="AI34" i="41"/>
  <c r="X35" i="41"/>
  <c r="AB35" i="41"/>
  <c r="AF35" i="41"/>
  <c r="Y36" i="41"/>
  <c r="AC36" i="41"/>
  <c r="AG36" i="41"/>
  <c r="G37" i="41"/>
  <c r="Z37" i="41"/>
  <c r="AF37" i="41"/>
  <c r="X39" i="41"/>
  <c r="AD39" i="41"/>
  <c r="H40" i="41"/>
  <c r="AB40" i="41"/>
  <c r="AG40" i="41"/>
  <c r="BG40" i="41"/>
  <c r="AC41" i="41"/>
  <c r="AI41" i="41"/>
  <c r="BC42" i="41"/>
  <c r="AH42" i="41"/>
  <c r="AD42" i="41"/>
  <c r="Z42" i="41"/>
  <c r="G42" i="41"/>
  <c r="Y42" i="41"/>
  <c r="AE42" i="41"/>
  <c r="AO42" i="41"/>
  <c r="G43" i="41"/>
  <c r="AB43" i="41"/>
  <c r="AG43" i="41"/>
  <c r="BC43" i="41"/>
  <c r="X24" i="41"/>
  <c r="AB24" i="41"/>
  <c r="AF24" i="41"/>
  <c r="Y25" i="41"/>
  <c r="AC25" i="41"/>
  <c r="AG25" i="41"/>
  <c r="X29" i="41"/>
  <c r="AB29" i="41"/>
  <c r="AF29" i="41"/>
  <c r="X30" i="41"/>
  <c r="AB30" i="41"/>
  <c r="AF30" i="41"/>
  <c r="Y31" i="41"/>
  <c r="AC31" i="41"/>
  <c r="AG31" i="41"/>
  <c r="X34" i="41"/>
  <c r="AB34" i="41"/>
  <c r="AF34" i="41"/>
  <c r="Y35" i="41"/>
  <c r="AC35" i="41"/>
  <c r="AG35" i="41"/>
  <c r="AB37" i="41"/>
  <c r="BC37" i="41"/>
  <c r="Z39" i="41"/>
  <c r="AO39" i="41"/>
  <c r="AC40" i="41"/>
  <c r="AI40" i="41"/>
  <c r="AH41" i="41"/>
  <c r="AD41" i="41"/>
  <c r="Z41" i="41"/>
  <c r="G41" i="41"/>
  <c r="Y41" i="41"/>
  <c r="AE41" i="41"/>
  <c r="AO41" i="41"/>
  <c r="AA42" i="41"/>
  <c r="AF42" i="41"/>
  <c r="AP42" i="41"/>
  <c r="AC43" i="41"/>
  <c r="AH47" i="41"/>
  <c r="AD47" i="41"/>
  <c r="Z47" i="41"/>
  <c r="G47" i="41"/>
  <c r="AF47" i="41"/>
  <c r="X33" i="41"/>
  <c r="AB33" i="41"/>
  <c r="AF33" i="41"/>
  <c r="Y34" i="41"/>
  <c r="AC34" i="41"/>
  <c r="AG34" i="41"/>
  <c r="X37" i="41"/>
  <c r="AH40" i="41"/>
  <c r="AD40" i="41"/>
  <c r="Z40" i="41"/>
  <c r="G40" i="41"/>
  <c r="Y40" i="41"/>
  <c r="AE40" i="41"/>
  <c r="AO40" i="41"/>
  <c r="AA41" i="41"/>
  <c r="AF41" i="41"/>
  <c r="AP41" i="41"/>
  <c r="H42" i="41"/>
  <c r="AB42" i="41"/>
  <c r="Y43" i="41"/>
  <c r="AD43" i="41"/>
  <c r="AO47" i="41"/>
  <c r="X38" i="41"/>
  <c r="AB38" i="41"/>
  <c r="AF38" i="41"/>
  <c r="Y39" i="41"/>
  <c r="AC39" i="41"/>
  <c r="AG39" i="41"/>
  <c r="X44" i="41"/>
  <c r="AB44" i="41"/>
  <c r="AF44" i="41"/>
  <c r="X45" i="41"/>
  <c r="AB45" i="41"/>
  <c r="AF45" i="41"/>
  <c r="Y46" i="41"/>
  <c r="AC46" i="41"/>
  <c r="AG46" i="41"/>
  <c r="BC47" i="41"/>
  <c r="G48" i="41"/>
  <c r="Z48" i="41"/>
  <c r="AD48" i="41"/>
  <c r="AH48" i="41"/>
  <c r="BC48" i="41"/>
  <c r="G49" i="41"/>
  <c r="Z49" i="41"/>
  <c r="AD49" i="41"/>
  <c r="AH49" i="41"/>
  <c r="BC49" i="41"/>
  <c r="H50" i="41"/>
  <c r="AA50" i="41"/>
  <c r="AE50" i="41"/>
  <c r="AI50" i="41"/>
  <c r="X51" i="41"/>
  <c r="AB51" i="41"/>
  <c r="AF51" i="41"/>
  <c r="Y52" i="41"/>
  <c r="AC52" i="41"/>
  <c r="AG52" i="41"/>
  <c r="G53" i="41"/>
  <c r="Z53" i="41"/>
  <c r="AD53" i="41"/>
  <c r="AI53" i="41"/>
  <c r="G54" i="41"/>
  <c r="AF54" i="41"/>
  <c r="BC55" i="41"/>
  <c r="AH55" i="41"/>
  <c r="AD55" i="41"/>
  <c r="Z55" i="41"/>
  <c r="G55" i="41"/>
  <c r="AO55" i="41"/>
  <c r="Y44" i="41"/>
  <c r="AC44" i="41"/>
  <c r="AG44" i="41"/>
  <c r="Y45" i="41"/>
  <c r="AC45" i="41"/>
  <c r="AG45" i="41"/>
  <c r="G46" i="41"/>
  <c r="Z46" i="41"/>
  <c r="AD46" i="41"/>
  <c r="AH46" i="41"/>
  <c r="BC46" i="41"/>
  <c r="H47" i="41"/>
  <c r="AA47" i="41"/>
  <c r="AE47" i="41"/>
  <c r="AI47" i="41"/>
  <c r="BG47" i="41"/>
  <c r="H48" i="41"/>
  <c r="AA48" i="41"/>
  <c r="AE48" i="41"/>
  <c r="AI48" i="41"/>
  <c r="BG48" i="41"/>
  <c r="X50" i="41"/>
  <c r="AB50" i="41"/>
  <c r="AF50" i="41"/>
  <c r="AO50" i="41"/>
  <c r="Y51" i="41"/>
  <c r="AC51" i="41"/>
  <c r="AG51" i="41"/>
  <c r="AP51" i="41"/>
  <c r="G52" i="41"/>
  <c r="Z52" i="41"/>
  <c r="AD52" i="41"/>
  <c r="AH52" i="41"/>
  <c r="BC52" i="41"/>
  <c r="AB54" i="41"/>
  <c r="AH54" i="41"/>
  <c r="AI55" i="41"/>
  <c r="AP55" i="41"/>
  <c r="AG55" i="41"/>
  <c r="AC55" i="41"/>
  <c r="Y55" i="41"/>
  <c r="X48" i="41"/>
  <c r="AB48" i="41"/>
  <c r="AF48" i="41"/>
  <c r="X49" i="41"/>
  <c r="AB49" i="41"/>
  <c r="AF49" i="41"/>
  <c r="Y50" i="41"/>
  <c r="AC50" i="41"/>
  <c r="AG50" i="41"/>
  <c r="AO53" i="41"/>
  <c r="AF53" i="41"/>
  <c r="X53" i="41"/>
  <c r="AB53" i="41"/>
  <c r="AX53" i="41"/>
  <c r="X54" i="41"/>
  <c r="AD54" i="41"/>
  <c r="AX54" i="41"/>
  <c r="X46" i="41"/>
  <c r="AB46" i="41"/>
  <c r="AF46" i="41"/>
  <c r="Y47" i="41"/>
  <c r="AC47" i="41"/>
  <c r="AG47" i="41"/>
  <c r="Y48" i="41"/>
  <c r="AC48" i="41"/>
  <c r="AG48" i="41"/>
  <c r="Y49" i="41"/>
  <c r="AC49" i="41"/>
  <c r="AG49" i="41"/>
  <c r="G50" i="41"/>
  <c r="Z50" i="41"/>
  <c r="AD50" i="41"/>
  <c r="AH50" i="41"/>
  <c r="H51" i="41"/>
  <c r="AA51" i="41"/>
  <c r="AE51" i="41"/>
  <c r="X52" i="41"/>
  <c r="AB52" i="41"/>
  <c r="AF52" i="41"/>
  <c r="Y53" i="41"/>
  <c r="AH53" i="41"/>
  <c r="Z54" i="41"/>
  <c r="AO54" i="41"/>
  <c r="Y56" i="41"/>
  <c r="AC56" i="41"/>
  <c r="AG56" i="41"/>
  <c r="AP56" i="41"/>
  <c r="X59" i="41"/>
  <c r="AB59" i="41"/>
  <c r="AF59" i="41"/>
  <c r="AO59" i="41"/>
  <c r="AX59" i="41"/>
  <c r="Y60" i="41"/>
  <c r="AC60" i="41"/>
  <c r="AG60" i="41"/>
  <c r="AP60" i="41"/>
  <c r="Z61" i="41"/>
  <c r="AD61" i="41"/>
  <c r="AH61" i="41"/>
  <c r="BC61" i="41"/>
  <c r="X63" i="41"/>
  <c r="AB63" i="41"/>
  <c r="AF63" i="41"/>
  <c r="AO63" i="41"/>
  <c r="Y64" i="41"/>
  <c r="AC64" i="41"/>
  <c r="AG64" i="41"/>
  <c r="AP64" i="41"/>
  <c r="Y65" i="41"/>
  <c r="AC65" i="41"/>
  <c r="AG65" i="41"/>
  <c r="G66" i="41"/>
  <c r="Z66" i="41"/>
  <c r="AD66" i="41"/>
  <c r="AH66" i="41"/>
  <c r="BC66" i="41"/>
  <c r="H67" i="41"/>
  <c r="AA67" i="41"/>
  <c r="AE67" i="41"/>
  <c r="AI67" i="41"/>
  <c r="X68" i="41"/>
  <c r="AB68" i="41"/>
  <c r="AF68" i="41"/>
  <c r="AO68" i="41"/>
  <c r="X69" i="41"/>
  <c r="AB69" i="41"/>
  <c r="AF69" i="41"/>
  <c r="Y70" i="41"/>
  <c r="AC70" i="41"/>
  <c r="AG70" i="41"/>
  <c r="G71" i="41"/>
  <c r="Z71" i="41"/>
  <c r="AD71" i="41"/>
  <c r="AH71" i="41"/>
  <c r="BC71" i="41"/>
  <c r="H72" i="41"/>
  <c r="AA72" i="41"/>
  <c r="AE72" i="41"/>
  <c r="AI72" i="41"/>
  <c r="BC73" i="41"/>
  <c r="AH73" i="41"/>
  <c r="X73" i="41"/>
  <c r="AB73" i="41"/>
  <c r="AF73" i="41"/>
  <c r="X74" i="41"/>
  <c r="G56" i="41"/>
  <c r="Z56" i="41"/>
  <c r="AD56" i="41"/>
  <c r="AH56" i="41"/>
  <c r="BC56" i="41"/>
  <c r="X58" i="41"/>
  <c r="AB58" i="41"/>
  <c r="AF58" i="41"/>
  <c r="AO58" i="41"/>
  <c r="Y59" i="41"/>
  <c r="AC59" i="41"/>
  <c r="AG59" i="41"/>
  <c r="AP59" i="41"/>
  <c r="X62" i="41"/>
  <c r="AB62" i="41"/>
  <c r="AF62" i="41"/>
  <c r="AO62" i="41"/>
  <c r="AX62" i="41"/>
  <c r="Y63" i="41"/>
  <c r="AC63" i="41"/>
  <c r="AG63" i="41"/>
  <c r="AP63" i="41"/>
  <c r="BC64" i="41"/>
  <c r="X67" i="41"/>
  <c r="AB67" i="41"/>
  <c r="AF67" i="41"/>
  <c r="AO67" i="41"/>
  <c r="AX67" i="41"/>
  <c r="Y68" i="41"/>
  <c r="AC68" i="41"/>
  <c r="AG68" i="41"/>
  <c r="AP68" i="41"/>
  <c r="AY68" i="41"/>
  <c r="AY88" i="41" s="1"/>
  <c r="AY94" i="41" s="1"/>
  <c r="Y69" i="41"/>
  <c r="AC69" i="41"/>
  <c r="AG69" i="41"/>
  <c r="AP69" i="41"/>
  <c r="X72" i="41"/>
  <c r="AB72" i="41"/>
  <c r="AF72" i="41"/>
  <c r="AO72" i="41"/>
  <c r="AP73" i="41"/>
  <c r="AG73" i="41"/>
  <c r="Y73" i="41"/>
  <c r="AC73" i="41"/>
  <c r="AI73" i="41"/>
  <c r="AX73" i="41"/>
  <c r="Y54" i="41"/>
  <c r="AC54" i="41"/>
  <c r="AG54" i="41"/>
  <c r="H56" i="41"/>
  <c r="AA56" i="41"/>
  <c r="AE56" i="41"/>
  <c r="X57" i="41"/>
  <c r="AB57" i="41"/>
  <c r="AF57" i="41"/>
  <c r="Y58" i="41"/>
  <c r="AC58" i="41"/>
  <c r="AG58" i="41"/>
  <c r="G59" i="41"/>
  <c r="Z59" i="41"/>
  <c r="AD59" i="41"/>
  <c r="AH59" i="41"/>
  <c r="H60" i="41"/>
  <c r="AA60" i="41"/>
  <c r="AE60" i="41"/>
  <c r="X61" i="41"/>
  <c r="AB61" i="41"/>
  <c r="AF61" i="41"/>
  <c r="Y62" i="41"/>
  <c r="AC62" i="41"/>
  <c r="AG62" i="41"/>
  <c r="G63" i="41"/>
  <c r="Z63" i="41"/>
  <c r="AD63" i="41"/>
  <c r="AH63" i="41"/>
  <c r="H64" i="41"/>
  <c r="AA64" i="41"/>
  <c r="AE64" i="41"/>
  <c r="AI64" i="41"/>
  <c r="X66" i="41"/>
  <c r="AB66" i="41"/>
  <c r="AF66" i="41"/>
  <c r="Y67" i="41"/>
  <c r="AC67" i="41"/>
  <c r="AG67" i="41"/>
  <c r="G68" i="41"/>
  <c r="Z68" i="41"/>
  <c r="AD68" i="41"/>
  <c r="BC68" i="41"/>
  <c r="X71" i="41"/>
  <c r="AB71" i="41"/>
  <c r="AF71" i="41"/>
  <c r="Y72" i="41"/>
  <c r="AC72" i="41"/>
  <c r="AG72" i="41"/>
  <c r="BC74" i="41"/>
  <c r="AH74" i="41"/>
  <c r="AD74" i="41"/>
  <c r="Z74" i="41"/>
  <c r="G74" i="41"/>
  <c r="AB74" i="41"/>
  <c r="AO74" i="41"/>
  <c r="X56" i="41"/>
  <c r="AB56" i="41"/>
  <c r="AF56" i="41"/>
  <c r="Y57" i="41"/>
  <c r="AC57" i="41"/>
  <c r="AG57" i="41"/>
  <c r="G58" i="41"/>
  <c r="Z58" i="41"/>
  <c r="AD58" i="41"/>
  <c r="AH58" i="41"/>
  <c r="H59" i="41"/>
  <c r="AA59" i="41"/>
  <c r="AE59" i="41"/>
  <c r="X60" i="41"/>
  <c r="AB60" i="41"/>
  <c r="AF60" i="41"/>
  <c r="Y61" i="41"/>
  <c r="AC61" i="41"/>
  <c r="AG61" i="41"/>
  <c r="G62" i="41"/>
  <c r="Z62" i="41"/>
  <c r="AD62" i="41"/>
  <c r="AH62" i="41"/>
  <c r="H63" i="41"/>
  <c r="AA63" i="41"/>
  <c r="AE63" i="41"/>
  <c r="X64" i="41"/>
  <c r="AB64" i="41"/>
  <c r="AF64" i="41"/>
  <c r="X65" i="41"/>
  <c r="AB65" i="41"/>
  <c r="AF65" i="41"/>
  <c r="Y66" i="41"/>
  <c r="AC66" i="41"/>
  <c r="AG66" i="41"/>
  <c r="G67" i="41"/>
  <c r="Z67" i="41"/>
  <c r="AD67" i="41"/>
  <c r="AH67" i="41"/>
  <c r="H68" i="41"/>
  <c r="AA68" i="41"/>
  <c r="AE68" i="41"/>
  <c r="AI68" i="41"/>
  <c r="H69" i="41"/>
  <c r="AA69" i="41"/>
  <c r="AE69" i="41"/>
  <c r="X70" i="41"/>
  <c r="AB70" i="41"/>
  <c r="AF70" i="41"/>
  <c r="Y71" i="41"/>
  <c r="AC71" i="41"/>
  <c r="AG71" i="41"/>
  <c r="G72" i="41"/>
  <c r="Z72" i="41"/>
  <c r="AD72" i="41"/>
  <c r="AH72" i="41"/>
  <c r="H73" i="41"/>
  <c r="AA73" i="41"/>
  <c r="AE73" i="41"/>
  <c r="AI74" i="41"/>
  <c r="AE74" i="41"/>
  <c r="AA74" i="41"/>
  <c r="H74" i="41"/>
  <c r="AC74" i="41"/>
  <c r="AP74" i="41"/>
  <c r="Y75" i="41"/>
  <c r="AC75" i="41"/>
  <c r="AG75" i="41"/>
  <c r="AP75" i="41"/>
  <c r="X78" i="41"/>
  <c r="AB78" i="41"/>
  <c r="AF78" i="41"/>
  <c r="AO78" i="41"/>
  <c r="Y79" i="41"/>
  <c r="AC79" i="41"/>
  <c r="AG79" i="41"/>
  <c r="AP79" i="41"/>
  <c r="BC80" i="41"/>
  <c r="X83" i="41"/>
  <c r="AB83" i="41"/>
  <c r="AF83" i="41"/>
  <c r="AO83" i="41"/>
  <c r="X84" i="41"/>
  <c r="AB84" i="41"/>
  <c r="AF84" i="41"/>
  <c r="AO84" i="41"/>
  <c r="X85" i="41"/>
  <c r="AB85" i="41"/>
  <c r="AF85" i="41"/>
  <c r="AO85" i="41"/>
  <c r="Y86" i="41"/>
  <c r="AC86" i="41"/>
  <c r="AG86" i="41"/>
  <c r="AP86" i="41"/>
  <c r="X77" i="41"/>
  <c r="AB77" i="41"/>
  <c r="AF77" i="41"/>
  <c r="AO77" i="41"/>
  <c r="AX77" i="41"/>
  <c r="Y78" i="41"/>
  <c r="AC78" i="41"/>
  <c r="AG78" i="41"/>
  <c r="AP78" i="41"/>
  <c r="X82" i="41"/>
  <c r="AB82" i="41"/>
  <c r="AF82" i="41"/>
  <c r="AO82" i="41"/>
  <c r="Y83" i="41"/>
  <c r="AC83" i="41"/>
  <c r="AG83" i="41"/>
  <c r="AP83" i="41"/>
  <c r="Y84" i="41"/>
  <c r="AC84" i="41"/>
  <c r="AG84" i="41"/>
  <c r="AP84" i="41"/>
  <c r="Y85" i="41"/>
  <c r="AC85" i="41"/>
  <c r="AG85" i="41"/>
  <c r="AP85" i="41"/>
  <c r="G86" i="41"/>
  <c r="Z86" i="41"/>
  <c r="AD86" i="41"/>
  <c r="AH86" i="41"/>
  <c r="BC86" i="41"/>
  <c r="H75" i="41"/>
  <c r="AA75" i="41"/>
  <c r="AE75" i="41"/>
  <c r="X76" i="41"/>
  <c r="AB76" i="41"/>
  <c r="AF76" i="41"/>
  <c r="Y77" i="41"/>
  <c r="AC77" i="41"/>
  <c r="AG77" i="41"/>
  <c r="G78" i="41"/>
  <c r="Z78" i="41"/>
  <c r="AD78" i="41"/>
  <c r="AH78" i="41"/>
  <c r="H79" i="41"/>
  <c r="AA79" i="41"/>
  <c r="AE79" i="41"/>
  <c r="X80" i="41"/>
  <c r="AB80" i="41"/>
  <c r="AF80" i="41"/>
  <c r="X81" i="41"/>
  <c r="AB81" i="41"/>
  <c r="AF81" i="41"/>
  <c r="Y82" i="41"/>
  <c r="AC82" i="41"/>
  <c r="AG82" i="41"/>
  <c r="G83" i="41"/>
  <c r="Z83" i="41"/>
  <c r="AD83" i="41"/>
  <c r="BC83" i="41"/>
  <c r="G84" i="41"/>
  <c r="Z84" i="41"/>
  <c r="AD84" i="41"/>
  <c r="BC84" i="41"/>
  <c r="G85" i="41"/>
  <c r="Z85" i="41"/>
  <c r="AD85" i="41"/>
  <c r="AH85" i="41"/>
  <c r="H86" i="41"/>
  <c r="AA86" i="41"/>
  <c r="AE86" i="41"/>
  <c r="X75" i="41"/>
  <c r="AB75" i="41"/>
  <c r="AF75" i="41"/>
  <c r="Y76" i="41"/>
  <c r="AC76" i="41"/>
  <c r="AG76" i="41"/>
  <c r="G77" i="41"/>
  <c r="Z77" i="41"/>
  <c r="AD77" i="41"/>
  <c r="AH77" i="41"/>
  <c r="H78" i="41"/>
  <c r="AA78" i="41"/>
  <c r="AE78" i="41"/>
  <c r="X79" i="41"/>
  <c r="AB79" i="41"/>
  <c r="AF79" i="41"/>
  <c r="Y80" i="41"/>
  <c r="AC80" i="41"/>
  <c r="AG80" i="41"/>
  <c r="Y81" i="41"/>
  <c r="AC81" i="41"/>
  <c r="AG81" i="41"/>
  <c r="G82" i="41"/>
  <c r="Z82" i="41"/>
  <c r="AD82" i="41"/>
  <c r="AH82" i="41"/>
  <c r="H83" i="41"/>
  <c r="AA83" i="41"/>
  <c r="AE83" i="41"/>
  <c r="AI83" i="41"/>
  <c r="H84" i="41"/>
  <c r="AA84" i="41"/>
  <c r="AE84" i="41"/>
  <c r="AI84" i="41"/>
  <c r="H85" i="41"/>
  <c r="AA85" i="41"/>
  <c r="AE85" i="41"/>
  <c r="X86" i="41"/>
  <c r="AB86" i="41"/>
  <c r="AF86" i="41"/>
  <c r="BC88" i="41" l="1"/>
  <c r="BC94" i="41" s="1"/>
  <c r="AD88" i="41"/>
  <c r="AD94" i="41" s="1"/>
  <c r="G88" i="41"/>
  <c r="G94" i="41" s="1"/>
  <c r="Z88" i="41"/>
  <c r="Z94" i="41" s="1"/>
  <c r="AH88" i="41"/>
  <c r="AH94" i="41" s="1"/>
  <c r="AX88" i="41"/>
  <c r="AX94" i="41" s="1"/>
  <c r="X88" i="41"/>
  <c r="X94" i="41" s="1"/>
  <c r="H88" i="41"/>
  <c r="H94" i="41" s="1"/>
  <c r="AO88" i="41"/>
  <c r="AO94" i="41" s="1"/>
  <c r="BG88" i="41"/>
  <c r="BG94" i="41" s="1"/>
  <c r="AG88" i="41"/>
  <c r="AG94" i="41" s="1"/>
  <c r="AF88" i="41"/>
  <c r="AF94" i="41" s="1"/>
  <c r="AI88" i="41"/>
  <c r="AI94" i="41" s="1"/>
  <c r="AP88" i="41"/>
  <c r="AP94" i="41" s="1"/>
  <c r="AB88" i="41"/>
  <c r="AB94" i="41" s="1"/>
  <c r="AA88" i="41"/>
  <c r="AA94" i="41" s="1"/>
  <c r="AE88" i="41"/>
  <c r="AE94" i="41" s="1"/>
  <c r="Y88" i="41"/>
  <c r="Y94" i="41" s="1"/>
  <c r="AC88" i="41"/>
  <c r="AC94" i="41" s="1"/>
  <c r="AH16" i="32"/>
  <c r="AG16" i="32"/>
  <c r="C21" i="16"/>
  <c r="C21" i="2"/>
  <c r="AA108" i="32"/>
  <c r="Y108" i="32"/>
  <c r="S129" i="32"/>
  <c r="W124" i="32" l="1"/>
  <c r="V124" i="32"/>
  <c r="V114" i="32"/>
  <c r="AF104" i="32"/>
  <c r="AD104" i="32"/>
  <c r="F17" i="11" l="1"/>
  <c r="E17" i="11"/>
  <c r="C15" i="11"/>
  <c r="C14" i="11"/>
  <c r="C13" i="11"/>
  <c r="C12" i="11"/>
  <c r="C11" i="11"/>
  <c r="C10" i="11"/>
  <c r="C9" i="11"/>
  <c r="C8" i="11"/>
  <c r="C17" i="11" s="1"/>
  <c r="AH104" i="32"/>
  <c r="AG104" i="32"/>
  <c r="V120" i="32" l="1"/>
  <c r="V126" i="32"/>
  <c r="S127" i="32" l="1"/>
  <c r="S124" i="32"/>
  <c r="S126" i="32"/>
  <c r="U126" i="32"/>
  <c r="T126" i="32"/>
  <c r="U124" i="32"/>
  <c r="AE56" i="31"/>
  <c r="AE177" i="31" s="1"/>
  <c r="AD56" i="31"/>
  <c r="D120" i="32"/>
  <c r="E120" i="32"/>
  <c r="F120" i="32"/>
  <c r="G120" i="32"/>
  <c r="H120" i="32"/>
  <c r="I120" i="32"/>
  <c r="J120" i="32"/>
  <c r="K120" i="32"/>
  <c r="L120" i="32"/>
  <c r="M120" i="32"/>
  <c r="N120" i="32"/>
  <c r="O120" i="32"/>
  <c r="P120" i="32"/>
  <c r="Q120" i="32"/>
  <c r="R120" i="32"/>
  <c r="S120" i="32"/>
  <c r="T120" i="32"/>
  <c r="U120" i="32"/>
  <c r="W120" i="32"/>
  <c r="W126" i="32" s="1"/>
  <c r="S128" i="32" s="1"/>
  <c r="AB120" i="32"/>
  <c r="AC120" i="32"/>
  <c r="AD120" i="32"/>
  <c r="AE120" i="32"/>
  <c r="C120" i="32"/>
  <c r="K177" i="31"/>
  <c r="M177" i="31"/>
  <c r="N177" i="31"/>
  <c r="P177" i="31"/>
  <c r="R177" i="31"/>
  <c r="T177" i="31"/>
  <c r="V177" i="31"/>
  <c r="X177" i="31"/>
  <c r="Z177" i="31"/>
  <c r="AB177" i="31"/>
  <c r="AD177" i="31"/>
  <c r="AF177" i="31"/>
  <c r="AH177" i="31"/>
  <c r="AJ177" i="31"/>
  <c r="AL177" i="31"/>
  <c r="AN177" i="31"/>
  <c r="AH17" i="32" l="1"/>
  <c r="AG17" i="32"/>
  <c r="AE73" i="32"/>
  <c r="AF89" i="32"/>
  <c r="AF91" i="32"/>
  <c r="AF120" i="32" s="1"/>
  <c r="AG3" i="32"/>
  <c r="AH3" i="32"/>
  <c r="AG4" i="32"/>
  <c r="AH4" i="32"/>
  <c r="AG5" i="32"/>
  <c r="AH5" i="32"/>
  <c r="AG6" i="32"/>
  <c r="AH6" i="32"/>
  <c r="AG7" i="32"/>
  <c r="AH7" i="32"/>
  <c r="AG8" i="32"/>
  <c r="AH8" i="32"/>
  <c r="AG9" i="32"/>
  <c r="AH9" i="32"/>
  <c r="AG10" i="32"/>
  <c r="AH10" i="32"/>
  <c r="AG11" i="32"/>
  <c r="AH11" i="32"/>
  <c r="AG12" i="32"/>
  <c r="AH12" i="32"/>
  <c r="AG13" i="32"/>
  <c r="AH13" i="32"/>
  <c r="AG14" i="32"/>
  <c r="AH14" i="32"/>
  <c r="AG15" i="32"/>
  <c r="AH15" i="32"/>
  <c r="AG18" i="32"/>
  <c r="AH18" i="32"/>
  <c r="AG19" i="32"/>
  <c r="AH19" i="32"/>
  <c r="AG20" i="32"/>
  <c r="AH20" i="32"/>
  <c r="AG21" i="32"/>
  <c r="AH21" i="32"/>
  <c r="AG22" i="32"/>
  <c r="AH22" i="32"/>
  <c r="AG23" i="32"/>
  <c r="AH23" i="32"/>
  <c r="AG24" i="32"/>
  <c r="AH24" i="32"/>
  <c r="AG25" i="32"/>
  <c r="AH25" i="32"/>
  <c r="AG26" i="32"/>
  <c r="AH26" i="32"/>
  <c r="AG27" i="32"/>
  <c r="AH27" i="32"/>
  <c r="AG28" i="32"/>
  <c r="AH28" i="32"/>
  <c r="AG29" i="32"/>
  <c r="AH29" i="32"/>
  <c r="AG30" i="32"/>
  <c r="AH30" i="32"/>
  <c r="AG31" i="32"/>
  <c r="AH31" i="32"/>
  <c r="AG32" i="32"/>
  <c r="AH32" i="32"/>
  <c r="AG33" i="32"/>
  <c r="AH33" i="32"/>
  <c r="AG34" i="32"/>
  <c r="AH34" i="32"/>
  <c r="AG35" i="32"/>
  <c r="AH35" i="32"/>
  <c r="AG36" i="32"/>
  <c r="AH36" i="32"/>
  <c r="AG37" i="32"/>
  <c r="AH37" i="32"/>
  <c r="AG38" i="32"/>
  <c r="AH38" i="32"/>
  <c r="AG39" i="32"/>
  <c r="AH39" i="32"/>
  <c r="AG40" i="32"/>
  <c r="AH40" i="32"/>
  <c r="AG41" i="32"/>
  <c r="AH41" i="32"/>
  <c r="AG42" i="32"/>
  <c r="AH42" i="32"/>
  <c r="AG43" i="32"/>
  <c r="AH43" i="32"/>
  <c r="AG44" i="32"/>
  <c r="AH44" i="32"/>
  <c r="AG45" i="32"/>
  <c r="AH45" i="32"/>
  <c r="AG46" i="32"/>
  <c r="AH46" i="32"/>
  <c r="AG47" i="32"/>
  <c r="AH47" i="32"/>
  <c r="AG48" i="32"/>
  <c r="AH48" i="32"/>
  <c r="AG49" i="32"/>
  <c r="AH49" i="32"/>
  <c r="AG50" i="32"/>
  <c r="AH50" i="32"/>
  <c r="AG51" i="32"/>
  <c r="AH51" i="32"/>
  <c r="AG52" i="32"/>
  <c r="AH52" i="32"/>
  <c r="AG53" i="32"/>
  <c r="AH53" i="32"/>
  <c r="AG54" i="32"/>
  <c r="AH54" i="32"/>
  <c r="AG55" i="32"/>
  <c r="AH55" i="32"/>
  <c r="AG56" i="32"/>
  <c r="AH56" i="32"/>
  <c r="AG57" i="32"/>
  <c r="AH57" i="32"/>
  <c r="AG58" i="32"/>
  <c r="AH58" i="32"/>
  <c r="AG59" i="32"/>
  <c r="AH59" i="32"/>
  <c r="AG60" i="32"/>
  <c r="AH60" i="32"/>
  <c r="AG61" i="32"/>
  <c r="AH61" i="32"/>
  <c r="AG62" i="32"/>
  <c r="AH62" i="32"/>
  <c r="AG63" i="32"/>
  <c r="AH63" i="32"/>
  <c r="AG64" i="32"/>
  <c r="AH64" i="32"/>
  <c r="AG65" i="32"/>
  <c r="AH65" i="32"/>
  <c r="AG66" i="32"/>
  <c r="AH66" i="32"/>
  <c r="AG67" i="32"/>
  <c r="AH67" i="32"/>
  <c r="AG68" i="32"/>
  <c r="AH68" i="32"/>
  <c r="AG69" i="32"/>
  <c r="AH69" i="32"/>
  <c r="AG70" i="32"/>
  <c r="AH70" i="32"/>
  <c r="AG71" i="32"/>
  <c r="AH71" i="32"/>
  <c r="AG75" i="32"/>
  <c r="AH75" i="32"/>
  <c r="AG76" i="32"/>
  <c r="AH76" i="32"/>
  <c r="AG77" i="32"/>
  <c r="AH77" i="32"/>
  <c r="AG78" i="32"/>
  <c r="AH78" i="32"/>
  <c r="AG79" i="32"/>
  <c r="AH79" i="32"/>
  <c r="AG80" i="32"/>
  <c r="AH80" i="32"/>
  <c r="AG81" i="32"/>
  <c r="AH81" i="32"/>
  <c r="AG82" i="32"/>
  <c r="AH82" i="32"/>
  <c r="AG83" i="32"/>
  <c r="AH83" i="32"/>
  <c r="AG84" i="32"/>
  <c r="AH84" i="32"/>
  <c r="AG85" i="32"/>
  <c r="AH85" i="32"/>
  <c r="AG86" i="32"/>
  <c r="AH86" i="32"/>
  <c r="AG87" i="32"/>
  <c r="AH87" i="32"/>
  <c r="AH2" i="32"/>
  <c r="AG2" i="32"/>
  <c r="AE89" i="32"/>
  <c r="AE87" i="32"/>
  <c r="AE86" i="32"/>
  <c r="AE85" i="32"/>
  <c r="AE84" i="32"/>
  <c r="AE83" i="32"/>
  <c r="AE82" i="32"/>
  <c r="AE81" i="32"/>
  <c r="AE80" i="32"/>
  <c r="AE79" i="32"/>
  <c r="AE78" i="32"/>
  <c r="AE77" i="32"/>
  <c r="AE76" i="32"/>
  <c r="AE75" i="32"/>
  <c r="AE3" i="32"/>
  <c r="AE4" i="32"/>
  <c r="AE5" i="32"/>
  <c r="AE6" i="32"/>
  <c r="AE7" i="32"/>
  <c r="AE8" i="32"/>
  <c r="AE9" i="32"/>
  <c r="AE10" i="32"/>
  <c r="AE11" i="32"/>
  <c r="AE12" i="32"/>
  <c r="AE13" i="32"/>
  <c r="AE14" i="32"/>
  <c r="AE15" i="32"/>
  <c r="AE16" i="32"/>
  <c r="AE17" i="32"/>
  <c r="AE18" i="32"/>
  <c r="AE19" i="32"/>
  <c r="AE20" i="32"/>
  <c r="AE21" i="32"/>
  <c r="AE22" i="32"/>
  <c r="AE23" i="32"/>
  <c r="AE24" i="32"/>
  <c r="AE25" i="32"/>
  <c r="AE26" i="32"/>
  <c r="AE27" i="32"/>
  <c r="AE28" i="32"/>
  <c r="AE29" i="32"/>
  <c r="AE30" i="32"/>
  <c r="AE31" i="32"/>
  <c r="AE32" i="32"/>
  <c r="AE33" i="32"/>
  <c r="AE34" i="32"/>
  <c r="AE35" i="32"/>
  <c r="AE36" i="32"/>
  <c r="AE37" i="32"/>
  <c r="AE38" i="32"/>
  <c r="AE39" i="32"/>
  <c r="AE40" i="32"/>
  <c r="AE41" i="32"/>
  <c r="AE42" i="32"/>
  <c r="AE43" i="32"/>
  <c r="AE44" i="32"/>
  <c r="AE45" i="32"/>
  <c r="AE46" i="32"/>
  <c r="AE47" i="32"/>
  <c r="AE48" i="32"/>
  <c r="AE49" i="32"/>
  <c r="AE50" i="32"/>
  <c r="AE51" i="32"/>
  <c r="AE52" i="32"/>
  <c r="AE53" i="32"/>
  <c r="AE54" i="32"/>
  <c r="AE55" i="32"/>
  <c r="AE56" i="32"/>
  <c r="AE57" i="32"/>
  <c r="AE58" i="32"/>
  <c r="AE59" i="32"/>
  <c r="AE60" i="32"/>
  <c r="AE61" i="32"/>
  <c r="AE62" i="32"/>
  <c r="AE63" i="32"/>
  <c r="AE64" i="32"/>
  <c r="AE65" i="32"/>
  <c r="AE66" i="32"/>
  <c r="AE67" i="32"/>
  <c r="AE68" i="32"/>
  <c r="AE69" i="32"/>
  <c r="AE70" i="32"/>
  <c r="AE71" i="32"/>
  <c r="AE2" i="32"/>
  <c r="AH89" i="32" l="1"/>
  <c r="AG89" i="32"/>
  <c r="AH73" i="32"/>
  <c r="AH91" i="32" s="1"/>
  <c r="AH120" i="32" s="1"/>
  <c r="AG73" i="32"/>
  <c r="AE91" i="32"/>
  <c r="AG91" i="32" l="1"/>
  <c r="AG120" i="32" s="1"/>
  <c r="H27" i="39"/>
  <c r="H26" i="39"/>
  <c r="H5" i="39"/>
  <c r="AC78" i="4"/>
  <c r="AA78" i="4"/>
  <c r="Y78" i="4"/>
  <c r="W78" i="4"/>
  <c r="U78" i="4"/>
  <c r="AD94" i="4"/>
  <c r="AB94" i="4"/>
  <c r="Z94" i="4"/>
  <c r="X94" i="4"/>
  <c r="V94" i="4"/>
  <c r="U81" i="4"/>
  <c r="W81" i="4"/>
  <c r="Y81" i="4"/>
  <c r="AA81" i="4"/>
  <c r="AC81" i="4"/>
  <c r="AE81" i="4"/>
  <c r="U82" i="4"/>
  <c r="W82" i="4"/>
  <c r="Y82" i="4"/>
  <c r="AA82" i="4"/>
  <c r="AC82" i="4"/>
  <c r="AE82" i="4"/>
  <c r="U83" i="4"/>
  <c r="W83" i="4"/>
  <c r="Y83" i="4"/>
  <c r="AA83" i="4"/>
  <c r="AC83" i="4"/>
  <c r="AE83" i="4"/>
  <c r="U84" i="4"/>
  <c r="W84" i="4"/>
  <c r="Y84" i="4"/>
  <c r="AA84" i="4"/>
  <c r="AC84" i="4"/>
  <c r="AE84" i="4"/>
  <c r="U85" i="4"/>
  <c r="W85" i="4"/>
  <c r="Y85" i="4"/>
  <c r="AA85" i="4"/>
  <c r="AC85" i="4"/>
  <c r="AE85" i="4"/>
  <c r="U86" i="4"/>
  <c r="W86" i="4"/>
  <c r="Y86" i="4"/>
  <c r="AA86" i="4"/>
  <c r="AC86" i="4"/>
  <c r="AE86" i="4"/>
  <c r="U87" i="4"/>
  <c r="W87" i="4"/>
  <c r="Y87" i="4"/>
  <c r="AA87" i="4"/>
  <c r="AC87" i="4"/>
  <c r="AE87" i="4"/>
  <c r="U88" i="4"/>
  <c r="W88" i="4"/>
  <c r="Y88" i="4"/>
  <c r="AA88" i="4"/>
  <c r="AC88" i="4"/>
  <c r="AE88" i="4"/>
  <c r="U89" i="4"/>
  <c r="W89" i="4"/>
  <c r="Y89" i="4"/>
  <c r="AA89" i="4"/>
  <c r="AC89" i="4"/>
  <c r="AE89" i="4"/>
  <c r="U90" i="4"/>
  <c r="W90" i="4"/>
  <c r="Y90" i="4"/>
  <c r="AA90" i="4"/>
  <c r="AC90" i="4"/>
  <c r="AE90" i="4"/>
  <c r="U91" i="4"/>
  <c r="W91" i="4"/>
  <c r="Y91" i="4"/>
  <c r="AA91" i="4"/>
  <c r="AC91" i="4"/>
  <c r="AE91" i="4"/>
  <c r="U92" i="4"/>
  <c r="W92" i="4"/>
  <c r="Y92" i="4"/>
  <c r="AA92" i="4"/>
  <c r="AC92" i="4"/>
  <c r="AE92" i="4"/>
  <c r="AE80" i="4"/>
  <c r="AC80" i="4"/>
  <c r="AC94" i="4" s="1"/>
  <c r="AA80" i="4"/>
  <c r="Y80" i="4"/>
  <c r="W80" i="4"/>
  <c r="U80" i="4"/>
  <c r="U94" i="4" s="1"/>
  <c r="T8" i="4"/>
  <c r="V8" i="4"/>
  <c r="X8" i="4"/>
  <c r="Z8" i="4"/>
  <c r="AB8" i="4"/>
  <c r="AD8" i="4"/>
  <c r="T9" i="4"/>
  <c r="V9" i="4"/>
  <c r="X9" i="4"/>
  <c r="Z9" i="4"/>
  <c r="AB9" i="4"/>
  <c r="AD9" i="4"/>
  <c r="T10" i="4"/>
  <c r="V10" i="4"/>
  <c r="X10" i="4"/>
  <c r="Z10" i="4"/>
  <c r="AB10" i="4"/>
  <c r="AD10" i="4"/>
  <c r="T11" i="4"/>
  <c r="V11" i="4"/>
  <c r="X11" i="4"/>
  <c r="Z11" i="4"/>
  <c r="AB11" i="4"/>
  <c r="AD11" i="4"/>
  <c r="T12" i="4"/>
  <c r="V12" i="4"/>
  <c r="X12" i="4"/>
  <c r="Z12" i="4"/>
  <c r="AB12" i="4"/>
  <c r="AD12" i="4"/>
  <c r="T13" i="4"/>
  <c r="V13" i="4"/>
  <c r="X13" i="4"/>
  <c r="Z13" i="4"/>
  <c r="AB13" i="4"/>
  <c r="AD13" i="4"/>
  <c r="T14" i="4"/>
  <c r="V14" i="4"/>
  <c r="X14" i="4"/>
  <c r="Z14" i="4"/>
  <c r="AB14" i="4"/>
  <c r="AD14" i="4"/>
  <c r="T15" i="4"/>
  <c r="V15" i="4"/>
  <c r="X15" i="4"/>
  <c r="Z15" i="4"/>
  <c r="AB15" i="4"/>
  <c r="AD15" i="4"/>
  <c r="T16" i="4"/>
  <c r="V16" i="4"/>
  <c r="X16" i="4"/>
  <c r="Z16" i="4"/>
  <c r="AB16" i="4"/>
  <c r="AD16" i="4"/>
  <c r="T17" i="4"/>
  <c r="V17" i="4"/>
  <c r="X17" i="4"/>
  <c r="Z17" i="4"/>
  <c r="AB17" i="4"/>
  <c r="AD17" i="4"/>
  <c r="T18" i="4"/>
  <c r="V18" i="4"/>
  <c r="X18" i="4"/>
  <c r="Z18" i="4"/>
  <c r="AB18" i="4"/>
  <c r="AD18" i="4"/>
  <c r="T19" i="4"/>
  <c r="V19" i="4"/>
  <c r="X19" i="4"/>
  <c r="Z19" i="4"/>
  <c r="AB19" i="4"/>
  <c r="AD19" i="4"/>
  <c r="T20" i="4"/>
  <c r="V20" i="4"/>
  <c r="X20" i="4"/>
  <c r="Z20" i="4"/>
  <c r="AB20" i="4"/>
  <c r="AD20" i="4"/>
  <c r="T21" i="4"/>
  <c r="V21" i="4"/>
  <c r="X21" i="4"/>
  <c r="Z21" i="4"/>
  <c r="AB21" i="4"/>
  <c r="AD21" i="4"/>
  <c r="T22" i="4"/>
  <c r="V22" i="4"/>
  <c r="X22" i="4"/>
  <c r="Z22" i="4"/>
  <c r="AB22" i="4"/>
  <c r="AD22" i="4"/>
  <c r="T23" i="4"/>
  <c r="V23" i="4"/>
  <c r="X23" i="4"/>
  <c r="Z23" i="4"/>
  <c r="AB23" i="4"/>
  <c r="AD23" i="4"/>
  <c r="T24" i="4"/>
  <c r="V24" i="4"/>
  <c r="X24" i="4"/>
  <c r="Z24" i="4"/>
  <c r="AB24" i="4"/>
  <c r="AD24" i="4"/>
  <c r="T25" i="4"/>
  <c r="V25" i="4"/>
  <c r="X25" i="4"/>
  <c r="Z25" i="4"/>
  <c r="AB25" i="4"/>
  <c r="AD25" i="4"/>
  <c r="T26" i="4"/>
  <c r="V26" i="4"/>
  <c r="X26" i="4"/>
  <c r="Z26" i="4"/>
  <c r="AB26" i="4"/>
  <c r="AD26" i="4"/>
  <c r="T27" i="4"/>
  <c r="V27" i="4"/>
  <c r="X27" i="4"/>
  <c r="Z27" i="4"/>
  <c r="AB27" i="4"/>
  <c r="AD27" i="4"/>
  <c r="T28" i="4"/>
  <c r="V28" i="4"/>
  <c r="X28" i="4"/>
  <c r="Z28" i="4"/>
  <c r="AB28" i="4"/>
  <c r="AD28" i="4"/>
  <c r="T29" i="4"/>
  <c r="V29" i="4"/>
  <c r="X29" i="4"/>
  <c r="Z29" i="4"/>
  <c r="AB29" i="4"/>
  <c r="AD29" i="4"/>
  <c r="T30" i="4"/>
  <c r="V30" i="4"/>
  <c r="X30" i="4"/>
  <c r="Z30" i="4"/>
  <c r="AB30" i="4"/>
  <c r="AD30" i="4"/>
  <c r="T31" i="4"/>
  <c r="V31" i="4"/>
  <c r="X31" i="4"/>
  <c r="Z31" i="4"/>
  <c r="AB31" i="4"/>
  <c r="AD31" i="4"/>
  <c r="T32" i="4"/>
  <c r="V32" i="4"/>
  <c r="X32" i="4"/>
  <c r="Z32" i="4"/>
  <c r="AB32" i="4"/>
  <c r="AD32" i="4"/>
  <c r="T33" i="4"/>
  <c r="V33" i="4"/>
  <c r="X33" i="4"/>
  <c r="Z33" i="4"/>
  <c r="AB33" i="4"/>
  <c r="AD33" i="4"/>
  <c r="T34" i="4"/>
  <c r="V34" i="4"/>
  <c r="X34" i="4"/>
  <c r="Z34" i="4"/>
  <c r="AB34" i="4"/>
  <c r="AD34" i="4"/>
  <c r="T35" i="4"/>
  <c r="V35" i="4"/>
  <c r="X35" i="4"/>
  <c r="Z35" i="4"/>
  <c r="AB35" i="4"/>
  <c r="AD35" i="4"/>
  <c r="T36" i="4"/>
  <c r="V36" i="4"/>
  <c r="X36" i="4"/>
  <c r="Z36" i="4"/>
  <c r="AB36" i="4"/>
  <c r="AD36" i="4"/>
  <c r="T37" i="4"/>
  <c r="V37" i="4"/>
  <c r="X37" i="4"/>
  <c r="Z37" i="4"/>
  <c r="AB37" i="4"/>
  <c r="AD37" i="4"/>
  <c r="T38" i="4"/>
  <c r="V38" i="4"/>
  <c r="X38" i="4"/>
  <c r="Z38" i="4"/>
  <c r="AB38" i="4"/>
  <c r="AD38" i="4"/>
  <c r="T39" i="4"/>
  <c r="V39" i="4"/>
  <c r="X39" i="4"/>
  <c r="Z39" i="4"/>
  <c r="AB39" i="4"/>
  <c r="AD39" i="4"/>
  <c r="T40" i="4"/>
  <c r="V40" i="4"/>
  <c r="X40" i="4"/>
  <c r="Z40" i="4"/>
  <c r="AB40" i="4"/>
  <c r="AD40" i="4"/>
  <c r="T41" i="4"/>
  <c r="V41" i="4"/>
  <c r="X41" i="4"/>
  <c r="Z41" i="4"/>
  <c r="AB41" i="4"/>
  <c r="AD41" i="4"/>
  <c r="T42" i="4"/>
  <c r="V42" i="4"/>
  <c r="X42" i="4"/>
  <c r="Z42" i="4"/>
  <c r="AB42" i="4"/>
  <c r="AD42" i="4"/>
  <c r="T43" i="4"/>
  <c r="V43" i="4"/>
  <c r="X43" i="4"/>
  <c r="Z43" i="4"/>
  <c r="AB43" i="4"/>
  <c r="AD43" i="4"/>
  <c r="T44" i="4"/>
  <c r="V44" i="4"/>
  <c r="X44" i="4"/>
  <c r="Z44" i="4"/>
  <c r="AB44" i="4"/>
  <c r="AD44" i="4"/>
  <c r="T45" i="4"/>
  <c r="V45" i="4"/>
  <c r="X45" i="4"/>
  <c r="Z45" i="4"/>
  <c r="AB45" i="4"/>
  <c r="AD45" i="4"/>
  <c r="T46" i="4"/>
  <c r="V46" i="4"/>
  <c r="X46" i="4"/>
  <c r="Z46" i="4"/>
  <c r="AB46" i="4"/>
  <c r="AD46" i="4"/>
  <c r="T47" i="4"/>
  <c r="V47" i="4"/>
  <c r="X47" i="4"/>
  <c r="Z47" i="4"/>
  <c r="AB47" i="4"/>
  <c r="AD47" i="4"/>
  <c r="T48" i="4"/>
  <c r="V48" i="4"/>
  <c r="X48" i="4"/>
  <c r="Z48" i="4"/>
  <c r="AB48" i="4"/>
  <c r="AD48" i="4"/>
  <c r="T49" i="4"/>
  <c r="V49" i="4"/>
  <c r="X49" i="4"/>
  <c r="Z49" i="4"/>
  <c r="AB49" i="4"/>
  <c r="AD49" i="4"/>
  <c r="T50" i="4"/>
  <c r="V50" i="4"/>
  <c r="X50" i="4"/>
  <c r="Z50" i="4"/>
  <c r="AB50" i="4"/>
  <c r="AD50" i="4"/>
  <c r="T51" i="4"/>
  <c r="V51" i="4"/>
  <c r="X51" i="4"/>
  <c r="Z51" i="4"/>
  <c r="AB51" i="4"/>
  <c r="AD51" i="4"/>
  <c r="T52" i="4"/>
  <c r="V52" i="4"/>
  <c r="X52" i="4"/>
  <c r="Z52" i="4"/>
  <c r="AB52" i="4"/>
  <c r="AD52" i="4"/>
  <c r="T53" i="4"/>
  <c r="V53" i="4"/>
  <c r="X53" i="4"/>
  <c r="Z53" i="4"/>
  <c r="AB53" i="4"/>
  <c r="AD53" i="4"/>
  <c r="T54" i="4"/>
  <c r="V54" i="4"/>
  <c r="X54" i="4"/>
  <c r="Z54" i="4"/>
  <c r="AB54" i="4"/>
  <c r="AD54" i="4"/>
  <c r="T55" i="4"/>
  <c r="V55" i="4"/>
  <c r="X55" i="4"/>
  <c r="Z55" i="4"/>
  <c r="AB55" i="4"/>
  <c r="AD55" i="4"/>
  <c r="T56" i="4"/>
  <c r="V56" i="4"/>
  <c r="X56" i="4"/>
  <c r="Z56" i="4"/>
  <c r="AB56" i="4"/>
  <c r="AD56" i="4"/>
  <c r="T57" i="4"/>
  <c r="V57" i="4"/>
  <c r="X57" i="4"/>
  <c r="Z57" i="4"/>
  <c r="AB57" i="4"/>
  <c r="AD57" i="4"/>
  <c r="T58" i="4"/>
  <c r="V58" i="4"/>
  <c r="X58" i="4"/>
  <c r="Z58" i="4"/>
  <c r="AB58" i="4"/>
  <c r="AD58" i="4"/>
  <c r="T59" i="4"/>
  <c r="V59" i="4"/>
  <c r="X59" i="4"/>
  <c r="Z59" i="4"/>
  <c r="AB59" i="4"/>
  <c r="AD59" i="4"/>
  <c r="T60" i="4"/>
  <c r="V60" i="4"/>
  <c r="X60" i="4"/>
  <c r="Z60" i="4"/>
  <c r="AB60" i="4"/>
  <c r="AD60" i="4"/>
  <c r="T61" i="4"/>
  <c r="V61" i="4"/>
  <c r="X61" i="4"/>
  <c r="Z61" i="4"/>
  <c r="AB61" i="4"/>
  <c r="AD61" i="4"/>
  <c r="T62" i="4"/>
  <c r="V62" i="4"/>
  <c r="X62" i="4"/>
  <c r="Z62" i="4"/>
  <c r="AB62" i="4"/>
  <c r="AD62" i="4"/>
  <c r="T63" i="4"/>
  <c r="V63" i="4"/>
  <c r="X63" i="4"/>
  <c r="Z63" i="4"/>
  <c r="AB63" i="4"/>
  <c r="AD63" i="4"/>
  <c r="T64" i="4"/>
  <c r="V64" i="4"/>
  <c r="X64" i="4"/>
  <c r="Z64" i="4"/>
  <c r="AB64" i="4"/>
  <c r="AD64" i="4"/>
  <c r="T65" i="4"/>
  <c r="V65" i="4"/>
  <c r="X65" i="4"/>
  <c r="Z65" i="4"/>
  <c r="AB65" i="4"/>
  <c r="AD65" i="4"/>
  <c r="T66" i="4"/>
  <c r="V66" i="4"/>
  <c r="X66" i="4"/>
  <c r="Z66" i="4"/>
  <c r="AB66" i="4"/>
  <c r="AD66" i="4"/>
  <c r="T67" i="4"/>
  <c r="V67" i="4"/>
  <c r="X67" i="4"/>
  <c r="Z67" i="4"/>
  <c r="AB67" i="4"/>
  <c r="AD67" i="4"/>
  <c r="T68" i="4"/>
  <c r="V68" i="4"/>
  <c r="X68" i="4"/>
  <c r="Z68" i="4"/>
  <c r="AB68" i="4"/>
  <c r="AD68" i="4"/>
  <c r="T69" i="4"/>
  <c r="V69" i="4"/>
  <c r="X69" i="4"/>
  <c r="Z69" i="4"/>
  <c r="AB69" i="4"/>
  <c r="AD69" i="4"/>
  <c r="T70" i="4"/>
  <c r="V70" i="4"/>
  <c r="X70" i="4"/>
  <c r="Z70" i="4"/>
  <c r="AB70" i="4"/>
  <c r="AD70" i="4"/>
  <c r="T71" i="4"/>
  <c r="V71" i="4"/>
  <c r="X71" i="4"/>
  <c r="Z71" i="4"/>
  <c r="AB71" i="4"/>
  <c r="AD71" i="4"/>
  <c r="T72" i="4"/>
  <c r="V72" i="4"/>
  <c r="X72" i="4"/>
  <c r="Z72" i="4"/>
  <c r="AB72" i="4"/>
  <c r="AD72" i="4"/>
  <c r="T73" i="4"/>
  <c r="V73" i="4"/>
  <c r="X73" i="4"/>
  <c r="Z73" i="4"/>
  <c r="AB73" i="4"/>
  <c r="AD73" i="4"/>
  <c r="T74" i="4"/>
  <c r="V74" i="4"/>
  <c r="X74" i="4"/>
  <c r="Z74" i="4"/>
  <c r="AB74" i="4"/>
  <c r="AD74" i="4"/>
  <c r="T75" i="4"/>
  <c r="V75" i="4"/>
  <c r="X75" i="4"/>
  <c r="Z75" i="4"/>
  <c r="AB75" i="4"/>
  <c r="AD75" i="4"/>
  <c r="T76" i="4"/>
  <c r="V76" i="4"/>
  <c r="X76" i="4"/>
  <c r="Z76" i="4"/>
  <c r="AB76" i="4"/>
  <c r="AD76" i="4"/>
  <c r="AD7" i="4"/>
  <c r="AB7" i="4"/>
  <c r="AB78" i="4" s="1"/>
  <c r="Z7" i="4"/>
  <c r="X7" i="4"/>
  <c r="V7" i="4"/>
  <c r="T7" i="4"/>
  <c r="T78" i="4" s="1"/>
  <c r="S81" i="4"/>
  <c r="S82" i="4"/>
  <c r="S83" i="4"/>
  <c r="S84" i="4"/>
  <c r="S85" i="4"/>
  <c r="S86" i="4"/>
  <c r="S87" i="4"/>
  <c r="S88" i="4"/>
  <c r="S89" i="4"/>
  <c r="S90" i="4"/>
  <c r="S91" i="4"/>
  <c r="S92" i="4"/>
  <c r="S80"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 i="4"/>
  <c r="I5" i="37"/>
  <c r="E64" i="39"/>
  <c r="E65" i="39"/>
  <c r="E66" i="39"/>
  <c r="I4" i="37"/>
  <c r="I3" i="37"/>
  <c r="D5" i="37"/>
  <c r="D4" i="37"/>
  <c r="D3" i="37"/>
  <c r="W89" i="32"/>
  <c r="W94" i="4" l="1"/>
  <c r="AA94" i="4"/>
  <c r="AE94" i="4"/>
  <c r="R78" i="4"/>
  <c r="V78" i="4"/>
  <c r="AD78" i="4"/>
  <c r="S94" i="4"/>
  <c r="X78" i="4"/>
  <c r="Y94" i="4"/>
  <c r="Z78" i="4"/>
  <c r="S131" i="32"/>
  <c r="W73" i="32"/>
  <c r="W91" i="32" s="1"/>
  <c r="AO13" i="31" l="1"/>
  <c r="AO16" i="31"/>
  <c r="AO28" i="31"/>
  <c r="AX299" i="40"/>
  <c r="AX298" i="40"/>
  <c r="AX297" i="40"/>
  <c r="AX296" i="40"/>
  <c r="AX295" i="40"/>
  <c r="AX294" i="40"/>
  <c r="AX293" i="40"/>
  <c r="AX292" i="40"/>
  <c r="AX291" i="40"/>
  <c r="AX290" i="40"/>
  <c r="AX289" i="40"/>
  <c r="AX288" i="40"/>
  <c r="AX287" i="40"/>
  <c r="AX286" i="40"/>
  <c r="AX285" i="40"/>
  <c r="AX284" i="40"/>
  <c r="AX283" i="40"/>
  <c r="AX282" i="40"/>
  <c r="AX281" i="40"/>
  <c r="AX280" i="40"/>
  <c r="AX279" i="40"/>
  <c r="AX278" i="40"/>
  <c r="AX277" i="40"/>
  <c r="AX276" i="40"/>
  <c r="AX275" i="40"/>
  <c r="AX274" i="40"/>
  <c r="AX273" i="40"/>
  <c r="AX272" i="40"/>
  <c r="AX271" i="40"/>
  <c r="AX270" i="40"/>
  <c r="AX269" i="40"/>
  <c r="AX268" i="40"/>
  <c r="AX267" i="40"/>
  <c r="AX266" i="40"/>
  <c r="AX265" i="40"/>
  <c r="AX264" i="40"/>
  <c r="AX263" i="40"/>
  <c r="AX262" i="40"/>
  <c r="AX261" i="40"/>
  <c r="AX260" i="40"/>
  <c r="AX259" i="40"/>
  <c r="AX258" i="40"/>
  <c r="AX257" i="40"/>
  <c r="AX256" i="40"/>
  <c r="AX255" i="40"/>
  <c r="AX254" i="40"/>
  <c r="AX253" i="40"/>
  <c r="AX252" i="40"/>
  <c r="AX251" i="40"/>
  <c r="AX250" i="40"/>
  <c r="AX249" i="40"/>
  <c r="AX248" i="40"/>
  <c r="AX247" i="40"/>
  <c r="AX246" i="40"/>
  <c r="AX245" i="40"/>
  <c r="AX244" i="40"/>
  <c r="AX243" i="40"/>
  <c r="AX242" i="40"/>
  <c r="AX241" i="40"/>
  <c r="AX240" i="40"/>
  <c r="AX239" i="40"/>
  <c r="AX238" i="40"/>
  <c r="AX237" i="40"/>
  <c r="AX236" i="40"/>
  <c r="AX235" i="40"/>
  <c r="AX234" i="40"/>
  <c r="AX233" i="40"/>
  <c r="AX232" i="40"/>
  <c r="AX231" i="40"/>
  <c r="AX230" i="40"/>
  <c r="AX229" i="40"/>
  <c r="AX228" i="40"/>
  <c r="AX227" i="40"/>
  <c r="AX226" i="40"/>
  <c r="AX225" i="40"/>
  <c r="AX224" i="40"/>
  <c r="AX223" i="40"/>
  <c r="AX222" i="40"/>
  <c r="AX221" i="40"/>
  <c r="AX220" i="40"/>
  <c r="AX219" i="40"/>
  <c r="AX218" i="40"/>
  <c r="AX217" i="40"/>
  <c r="AX216" i="40"/>
  <c r="AX215" i="40"/>
  <c r="AX214" i="40"/>
  <c r="AX213" i="40"/>
  <c r="AX212" i="40"/>
  <c r="AX211" i="40"/>
  <c r="AX210" i="40"/>
  <c r="AX209" i="40"/>
  <c r="AX208" i="40"/>
  <c r="AX207" i="40"/>
  <c r="AX206" i="40"/>
  <c r="AX205" i="40"/>
  <c r="AX204" i="40"/>
  <c r="AX203" i="40"/>
  <c r="AX202" i="40"/>
  <c r="AX201" i="40"/>
  <c r="AX200" i="40"/>
  <c r="AX199" i="40"/>
  <c r="AX198" i="40"/>
  <c r="AX197" i="40"/>
  <c r="AX196" i="40"/>
  <c r="AO31" i="31"/>
  <c r="AO21" i="31" l="1"/>
  <c r="AO26" i="31"/>
  <c r="AO52" i="31"/>
  <c r="AO18" i="31"/>
  <c r="AO53" i="31"/>
  <c r="AO19" i="31"/>
  <c r="AO20" i="31"/>
  <c r="AO51" i="31"/>
  <c r="AO22" i="31"/>
  <c r="AO24" i="31"/>
  <c r="AO27" i="31"/>
  <c r="AO50" i="31"/>
  <c r="AO35" i="31"/>
  <c r="AO37" i="31"/>
  <c r="AO30" i="31"/>
  <c r="AO34" i="31"/>
  <c r="AO12" i="31"/>
  <c r="AO23" i="31"/>
  <c r="L3" i="39"/>
  <c r="AO17" i="31" l="1"/>
  <c r="AO36" i="31"/>
  <c r="AO46" i="31"/>
  <c r="AO38" i="31"/>
  <c r="AO15" i="31"/>
  <c r="AO32" i="31"/>
  <c r="AO45" i="31"/>
  <c r="AO10" i="31"/>
  <c r="AO49" i="31"/>
  <c r="AO44" i="31"/>
  <c r="AO25" i="31"/>
  <c r="AO11" i="31"/>
  <c r="AO39" i="31"/>
  <c r="AO29" i="31"/>
  <c r="AO43" i="31"/>
  <c r="AO14" i="31"/>
  <c r="AO42" i="31"/>
  <c r="AO41" i="31"/>
  <c r="AO8" i="31"/>
  <c r="AO48" i="31"/>
  <c r="AO40" i="31"/>
  <c r="AO33" i="31"/>
  <c r="AO47" i="31"/>
  <c r="F5" i="39"/>
  <c r="Q11" i="39" l="1"/>
  <c r="E38" i="39"/>
  <c r="H38" i="39" s="1"/>
  <c r="Q14" i="39"/>
  <c r="Q13" i="39"/>
  <c r="Q12" i="39"/>
  <c r="E40" i="39"/>
  <c r="H40" i="39" s="1"/>
  <c r="Q70" i="39"/>
  <c r="I115" i="39"/>
  <c r="G44" i="39"/>
  <c r="H44" i="39" s="1"/>
  <c r="G42" i="39"/>
  <c r="H42" i="39" s="1"/>
  <c r="E116" i="39"/>
  <c r="H116" i="39" s="1"/>
  <c r="E115" i="39"/>
  <c r="H115" i="39" s="1"/>
  <c r="E53" i="39"/>
  <c r="H53" i="39" s="1"/>
  <c r="E46" i="39"/>
  <c r="H46" i="39" s="1"/>
  <c r="E48" i="39"/>
  <c r="H48" i="39" s="1"/>
  <c r="E110" i="39"/>
  <c r="H110" i="39" s="1"/>
  <c r="E96" i="39"/>
  <c r="E90" i="39"/>
  <c r="G84" i="39"/>
  <c r="E105" i="39"/>
  <c r="H105" i="39" s="1"/>
  <c r="E94" i="39"/>
  <c r="G88" i="39"/>
  <c r="G82" i="39"/>
  <c r="G87" i="39"/>
  <c r="G80" i="39"/>
  <c r="E98" i="39"/>
  <c r="E92" i="39"/>
  <c r="G85" i="39"/>
  <c r="F77" i="39"/>
  <c r="F73" i="39"/>
  <c r="G76" i="39"/>
  <c r="G72" i="39"/>
  <c r="F71" i="39"/>
  <c r="F76" i="39"/>
  <c r="F72" i="39"/>
  <c r="G75" i="39"/>
  <c r="G71" i="39"/>
  <c r="F75" i="39"/>
  <c r="F74" i="39"/>
  <c r="G77" i="39"/>
  <c r="G73" i="39"/>
  <c r="G74" i="39"/>
  <c r="AO7" i="31"/>
  <c r="AO54" i="31"/>
  <c r="AO9" i="31"/>
  <c r="C25" i="39"/>
  <c r="H25" i="39" s="1"/>
  <c r="C24" i="39"/>
  <c r="H24" i="39" s="1"/>
  <c r="E23" i="39"/>
  <c r="H23" i="39" s="1"/>
  <c r="N11" i="39"/>
  <c r="E18" i="39"/>
  <c r="H18" i="39" s="1"/>
  <c r="E17" i="39"/>
  <c r="H17" i="39" s="1"/>
  <c r="E16" i="39"/>
  <c r="H16" i="39" s="1"/>
  <c r="C14" i="39"/>
  <c r="C13" i="39"/>
  <c r="D66" i="39"/>
  <c r="D65" i="39"/>
  <c r="D64" i="39"/>
  <c r="H50" i="39" l="1"/>
  <c r="F64" i="39"/>
  <c r="H75" i="39"/>
  <c r="J75" i="39" s="1"/>
  <c r="H76" i="39"/>
  <c r="J76" i="39" s="1"/>
  <c r="H73" i="39"/>
  <c r="J73" i="39" s="1"/>
  <c r="H98" i="39"/>
  <c r="H71" i="39"/>
  <c r="H77" i="39"/>
  <c r="J77" i="39" s="1"/>
  <c r="H82" i="39"/>
  <c r="J82" i="39" s="1"/>
  <c r="H84" i="39"/>
  <c r="J84" i="39" s="1"/>
  <c r="H85" i="39"/>
  <c r="J85" i="39" s="1"/>
  <c r="H80" i="39"/>
  <c r="J80" i="39" s="1"/>
  <c r="H88" i="39"/>
  <c r="J88" i="39" s="1"/>
  <c r="H90" i="39"/>
  <c r="H74" i="39"/>
  <c r="J74" i="39" s="1"/>
  <c r="H72" i="39"/>
  <c r="J72" i="39" s="1"/>
  <c r="H92" i="39"/>
  <c r="H87" i="39"/>
  <c r="J87" i="39" s="1"/>
  <c r="H94" i="39"/>
  <c r="H96" i="39"/>
  <c r="F78" i="39"/>
  <c r="G78" i="39"/>
  <c r="L12" i="39"/>
  <c r="E12" i="39" s="1"/>
  <c r="M13" i="39"/>
  <c r="N14" i="39"/>
  <c r="M11" i="39"/>
  <c r="M12" i="39"/>
  <c r="N13" i="39"/>
  <c r="L14" i="39"/>
  <c r="L13" i="39"/>
  <c r="M14" i="39"/>
  <c r="L11" i="39"/>
  <c r="E11" i="39" s="1"/>
  <c r="N12" i="39"/>
  <c r="F65" i="39"/>
  <c r="F66" i="39"/>
  <c r="H70" i="39" l="1"/>
  <c r="J71" i="39"/>
  <c r="G11" i="39"/>
  <c r="F12" i="39"/>
  <c r="F14" i="39"/>
  <c r="G12" i="39"/>
  <c r="G14" i="39"/>
  <c r="E14" i="39"/>
  <c r="G13" i="39"/>
  <c r="E13" i="39"/>
  <c r="F13" i="39"/>
  <c r="F11" i="39"/>
  <c r="H78" i="39" l="1"/>
  <c r="N70" i="39"/>
  <c r="R13" i="39"/>
  <c r="H13" i="39" s="1"/>
  <c r="R12" i="39"/>
  <c r="H12" i="39" s="1"/>
  <c r="R14" i="39"/>
  <c r="H14" i="39" s="1"/>
  <c r="R11" i="39"/>
  <c r="H11" i="39" s="1"/>
  <c r="C5" i="34"/>
  <c r="H20" i="39" l="1"/>
  <c r="J78" i="39"/>
  <c r="D17" i="34"/>
  <c r="B15" i="34"/>
  <c r="B13" i="34"/>
  <c r="B9" i="34"/>
  <c r="D9" i="34" s="1"/>
  <c r="B27" i="34"/>
  <c r="D15" i="34" l="1"/>
  <c r="V112" i="32" l="1"/>
  <c r="AC104" i="32"/>
  <c r="Z104" i="32"/>
  <c r="X104" i="32"/>
  <c r="U104" i="32"/>
  <c r="T104" i="32"/>
  <c r="R104" i="32"/>
  <c r="P104" i="32"/>
  <c r="O104" i="32"/>
  <c r="M104" i="32"/>
  <c r="L104" i="32"/>
  <c r="K104" i="32"/>
  <c r="J104" i="32"/>
  <c r="I104" i="32"/>
  <c r="H104" i="32"/>
  <c r="G104" i="32"/>
  <c r="F104" i="32"/>
  <c r="E104" i="32"/>
  <c r="D104" i="32"/>
  <c r="C104" i="32"/>
  <c r="N102" i="32"/>
  <c r="Q102" i="32" s="1"/>
  <c r="S102" i="32" s="1"/>
  <c r="N101" i="32"/>
  <c r="Q101" i="32" s="1"/>
  <c r="S101" i="32" s="1"/>
  <c r="N100" i="32"/>
  <c r="Q100" i="32" s="1"/>
  <c r="S100" i="32" s="1"/>
  <c r="N99" i="32"/>
  <c r="Q99" i="32" s="1"/>
  <c r="S99" i="32" s="1"/>
  <c r="N98" i="32"/>
  <c r="Q98" i="32" s="1"/>
  <c r="S98" i="32" s="1"/>
  <c r="N97" i="32"/>
  <c r="Q97" i="32" s="1"/>
  <c r="S97" i="32" s="1"/>
  <c r="N96" i="32"/>
  <c r="Q96" i="32" s="1"/>
  <c r="S96" i="32" s="1"/>
  <c r="N95" i="32"/>
  <c r="Q95" i="32" s="1"/>
  <c r="AC89" i="32"/>
  <c r="Z89" i="32"/>
  <c r="X89" i="32"/>
  <c r="V89" i="32"/>
  <c r="U89" i="32"/>
  <c r="T89" i="32"/>
  <c r="R89" i="32"/>
  <c r="P89" i="32"/>
  <c r="O89" i="32"/>
  <c r="M89" i="32"/>
  <c r="L89" i="32"/>
  <c r="K89" i="32"/>
  <c r="J89" i="32"/>
  <c r="I89" i="32"/>
  <c r="H89" i="32"/>
  <c r="G89" i="32"/>
  <c r="F89" i="32"/>
  <c r="E89" i="32"/>
  <c r="D89" i="32"/>
  <c r="C89" i="32"/>
  <c r="N87" i="32"/>
  <c r="Q87" i="32" s="1"/>
  <c r="S87" i="32" s="1"/>
  <c r="AA87" i="32" s="1"/>
  <c r="N86" i="32"/>
  <c r="Q86" i="32" s="1"/>
  <c r="S86" i="32" s="1"/>
  <c r="AA86" i="32" s="1"/>
  <c r="N85" i="32"/>
  <c r="Q85" i="32" s="1"/>
  <c r="S85" i="32" s="1"/>
  <c r="Q84" i="32"/>
  <c r="S84" i="32" s="1"/>
  <c r="AA84" i="32" s="1"/>
  <c r="N84" i="32"/>
  <c r="N83" i="32"/>
  <c r="Q83" i="32" s="1"/>
  <c r="S83" i="32" s="1"/>
  <c r="AA83" i="32" s="1"/>
  <c r="N82" i="32"/>
  <c r="Q82" i="32" s="1"/>
  <c r="S82" i="32" s="1"/>
  <c r="AA82" i="32" s="1"/>
  <c r="N81" i="32"/>
  <c r="Q81" i="32" s="1"/>
  <c r="S81" i="32" s="1"/>
  <c r="AA81" i="32" s="1"/>
  <c r="N80" i="32"/>
  <c r="Q80" i="32" s="1"/>
  <c r="S80" i="32" s="1"/>
  <c r="AA80" i="32" s="1"/>
  <c r="N79" i="32"/>
  <c r="Q79" i="32" s="1"/>
  <c r="S79" i="32" s="1"/>
  <c r="AA79" i="32" s="1"/>
  <c r="N78" i="32"/>
  <c r="Q78" i="32" s="1"/>
  <c r="S78" i="32" s="1"/>
  <c r="AA78" i="32" s="1"/>
  <c r="N77" i="32"/>
  <c r="Q77" i="32" s="1"/>
  <c r="S77" i="32" s="1"/>
  <c r="AA77" i="32" s="1"/>
  <c r="Q76" i="32"/>
  <c r="S76" i="32" s="1"/>
  <c r="AA76" i="32" s="1"/>
  <c r="N76" i="32"/>
  <c r="N75" i="32"/>
  <c r="AC73" i="32"/>
  <c r="Z73" i="32"/>
  <c r="X73" i="32"/>
  <c r="V73" i="32"/>
  <c r="U73" i="32"/>
  <c r="T73" i="32"/>
  <c r="R73" i="32"/>
  <c r="P73" i="32"/>
  <c r="O73" i="32"/>
  <c r="M73" i="32"/>
  <c r="L73" i="32"/>
  <c r="K73" i="32"/>
  <c r="J73" i="32"/>
  <c r="I73" i="32"/>
  <c r="H73" i="32"/>
  <c r="G73" i="32"/>
  <c r="F73" i="32"/>
  <c r="E73" i="32"/>
  <c r="D73" i="32"/>
  <c r="C73" i="32"/>
  <c r="Y71" i="32"/>
  <c r="N71" i="32"/>
  <c r="Q71" i="32" s="1"/>
  <c r="S71" i="32" s="1"/>
  <c r="N70" i="32"/>
  <c r="Q70" i="32" s="1"/>
  <c r="S70" i="32" s="1"/>
  <c r="N69" i="32"/>
  <c r="Q69" i="32" s="1"/>
  <c r="S69" i="32" s="1"/>
  <c r="Y68" i="32"/>
  <c r="N68" i="32"/>
  <c r="Q68" i="32" s="1"/>
  <c r="S68" i="32" s="1"/>
  <c r="Y67" i="32"/>
  <c r="N67" i="32"/>
  <c r="Q67" i="32" s="1"/>
  <c r="S67" i="32" s="1"/>
  <c r="N66" i="32"/>
  <c r="Q66" i="32" s="1"/>
  <c r="S66" i="32" s="1"/>
  <c r="Y65" i="32"/>
  <c r="N65" i="32"/>
  <c r="Q65" i="32" s="1"/>
  <c r="S65" i="32" s="1"/>
  <c r="Y64" i="32"/>
  <c r="N64" i="32"/>
  <c r="Q64" i="32" s="1"/>
  <c r="S64" i="32" s="1"/>
  <c r="Y63" i="32"/>
  <c r="N63" i="32"/>
  <c r="Q63" i="32" s="1"/>
  <c r="S63" i="32" s="1"/>
  <c r="N62" i="32"/>
  <c r="Q62" i="32" s="1"/>
  <c r="S62" i="32" s="1"/>
  <c r="Y61" i="32"/>
  <c r="N61" i="32"/>
  <c r="Q61" i="32" s="1"/>
  <c r="S61" i="32" s="1"/>
  <c r="N60" i="32"/>
  <c r="Q60" i="32" s="1"/>
  <c r="S60" i="32" s="1"/>
  <c r="Y59" i="32"/>
  <c r="N59" i="32"/>
  <c r="Q59" i="32" s="1"/>
  <c r="S59" i="32" s="1"/>
  <c r="N58" i="32"/>
  <c r="Q58" i="32" s="1"/>
  <c r="S58" i="32" s="1"/>
  <c r="Y57" i="32"/>
  <c r="N57" i="32"/>
  <c r="Q57" i="32" s="1"/>
  <c r="S57" i="32" s="1"/>
  <c r="Y56" i="32"/>
  <c r="N56" i="32"/>
  <c r="Q56" i="32" s="1"/>
  <c r="S56" i="32" s="1"/>
  <c r="N55" i="32"/>
  <c r="Q55" i="32" s="1"/>
  <c r="S55" i="32" s="1"/>
  <c r="N54" i="32"/>
  <c r="Q54" i="32" s="1"/>
  <c r="S54" i="32" s="1"/>
  <c r="Q53" i="32"/>
  <c r="S53" i="32" s="1"/>
  <c r="N53" i="32"/>
  <c r="Y52" i="32"/>
  <c r="N52" i="32"/>
  <c r="Q52" i="32" s="1"/>
  <c r="S52" i="32" s="1"/>
  <c r="Q51" i="32"/>
  <c r="S51" i="32" s="1"/>
  <c r="N51" i="32"/>
  <c r="N50" i="32"/>
  <c r="Q50" i="32" s="1"/>
  <c r="S50" i="32" s="1"/>
  <c r="Y49" i="32"/>
  <c r="Q49" i="32"/>
  <c r="S49" i="32" s="1"/>
  <c r="N49" i="32"/>
  <c r="N48" i="32"/>
  <c r="Q48" i="32" s="1"/>
  <c r="S48" i="32" s="1"/>
  <c r="Y47" i="32"/>
  <c r="Q47" i="32"/>
  <c r="S47" i="32" s="1"/>
  <c r="N47" i="32"/>
  <c r="Y46" i="32"/>
  <c r="N46" i="32"/>
  <c r="Q46" i="32" s="1"/>
  <c r="S46" i="32" s="1"/>
  <c r="Y45" i="32"/>
  <c r="N45" i="32"/>
  <c r="Q45" i="32" s="1"/>
  <c r="S45" i="32" s="1"/>
  <c r="Y44" i="32"/>
  <c r="N44" i="32"/>
  <c r="Q44" i="32" s="1"/>
  <c r="S44" i="32" s="1"/>
  <c r="N43" i="32"/>
  <c r="Q43" i="32" s="1"/>
  <c r="S43" i="32" s="1"/>
  <c r="N42" i="32"/>
  <c r="Q42" i="32" s="1"/>
  <c r="S42" i="32" s="1"/>
  <c r="Y41" i="32"/>
  <c r="N41" i="32"/>
  <c r="Q41" i="32" s="1"/>
  <c r="S41" i="32" s="1"/>
  <c r="N40" i="32"/>
  <c r="Q40" i="32" s="1"/>
  <c r="S40" i="32" s="1"/>
  <c r="Y39" i="32"/>
  <c r="N39" i="32"/>
  <c r="Q39" i="32" s="1"/>
  <c r="S39" i="32" s="1"/>
  <c r="Y38" i="32"/>
  <c r="N38" i="32"/>
  <c r="Q38" i="32" s="1"/>
  <c r="S38" i="32" s="1"/>
  <c r="N37" i="32"/>
  <c r="Q37" i="32" s="1"/>
  <c r="S37" i="32" s="1"/>
  <c r="Y36" i="32"/>
  <c r="N36" i="32"/>
  <c r="Q36" i="32" s="1"/>
  <c r="S36" i="32" s="1"/>
  <c r="Y35" i="32"/>
  <c r="N35" i="32"/>
  <c r="Q35" i="32" s="1"/>
  <c r="S35" i="32" s="1"/>
  <c r="N34" i="32"/>
  <c r="Q34" i="32" s="1"/>
  <c r="S34" i="32" s="1"/>
  <c r="N33" i="32"/>
  <c r="Q33" i="32" s="1"/>
  <c r="S33" i="32" s="1"/>
  <c r="N32" i="32"/>
  <c r="Q32" i="32" s="1"/>
  <c r="S32" i="32" s="1"/>
  <c r="N31" i="32"/>
  <c r="Q31" i="32" s="1"/>
  <c r="S31" i="32" s="1"/>
  <c r="N30" i="32"/>
  <c r="Q30" i="32" s="1"/>
  <c r="S30" i="32" s="1"/>
  <c r="Y29" i="32"/>
  <c r="N29" i="32"/>
  <c r="Q29" i="32" s="1"/>
  <c r="S29" i="32" s="1"/>
  <c r="N28" i="32"/>
  <c r="Q28" i="32" s="1"/>
  <c r="S28" i="32" s="1"/>
  <c r="Q27" i="32"/>
  <c r="S27" i="32" s="1"/>
  <c r="N27" i="32"/>
  <c r="N26" i="32"/>
  <c r="Q26" i="32" s="1"/>
  <c r="S26" i="32" s="1"/>
  <c r="Y25" i="32"/>
  <c r="Q25" i="32"/>
  <c r="S25" i="32" s="1"/>
  <c r="N25" i="32"/>
  <c r="N24" i="32"/>
  <c r="Q24" i="32" s="1"/>
  <c r="S24" i="32" s="1"/>
  <c r="Y23" i="32"/>
  <c r="Q23" i="32"/>
  <c r="S23" i="32" s="1"/>
  <c r="N23" i="32"/>
  <c r="Y22" i="32"/>
  <c r="N22" i="32"/>
  <c r="Q22" i="32" s="1"/>
  <c r="S22" i="32" s="1"/>
  <c r="Q21" i="32"/>
  <c r="S21" i="32" s="1"/>
  <c r="N21" i="32"/>
  <c r="Y20" i="32"/>
  <c r="N20" i="32"/>
  <c r="Q20" i="32" s="1"/>
  <c r="S20" i="32" s="1"/>
  <c r="N19" i="32"/>
  <c r="Q19" i="32" s="1"/>
  <c r="S19" i="32" s="1"/>
  <c r="N18" i="32"/>
  <c r="Q18" i="32" s="1"/>
  <c r="S18" i="32" s="1"/>
  <c r="N17" i="32"/>
  <c r="Q17" i="32" s="1"/>
  <c r="S17" i="32" s="1"/>
  <c r="N16" i="32"/>
  <c r="Q16" i="32" s="1"/>
  <c r="S16" i="32" s="1"/>
  <c r="Y15" i="32"/>
  <c r="N15" i="32"/>
  <c r="Q15" i="32" s="1"/>
  <c r="S15" i="32" s="1"/>
  <c r="N14" i="32"/>
  <c r="Q14" i="32" s="1"/>
  <c r="S14" i="32" s="1"/>
  <c r="N13" i="32"/>
  <c r="Q13" i="32" s="1"/>
  <c r="S13" i="32" s="1"/>
  <c r="N12" i="32"/>
  <c r="Q12" i="32" s="1"/>
  <c r="S12" i="32" s="1"/>
  <c r="Q11" i="32"/>
  <c r="S11" i="32" s="1"/>
  <c r="N11" i="32"/>
  <c r="N10" i="32"/>
  <c r="Q10" i="32" s="1"/>
  <c r="S10" i="32" s="1"/>
  <c r="N9" i="32"/>
  <c r="Q9" i="32" s="1"/>
  <c r="S9" i="32" s="1"/>
  <c r="N8" i="32"/>
  <c r="Q8" i="32" s="1"/>
  <c r="S8" i="32" s="1"/>
  <c r="Y7" i="32"/>
  <c r="N7" i="32"/>
  <c r="Q7" i="32" s="1"/>
  <c r="S7" i="32" s="1"/>
  <c r="Y6" i="32"/>
  <c r="N6" i="32"/>
  <c r="Q6" i="32" s="1"/>
  <c r="S6" i="32" s="1"/>
  <c r="N5" i="32"/>
  <c r="Q5" i="32" s="1"/>
  <c r="S5" i="32" s="1"/>
  <c r="Y4" i="32"/>
  <c r="N4" i="32"/>
  <c r="Q4" i="32" s="1"/>
  <c r="S4" i="32" s="1"/>
  <c r="N3" i="32"/>
  <c r="Q3" i="32" s="1"/>
  <c r="S3" i="32" s="1"/>
  <c r="Y2" i="32"/>
  <c r="N2" i="32"/>
  <c r="N73" i="32" l="1"/>
  <c r="N89" i="32"/>
  <c r="F91" i="32"/>
  <c r="J91" i="32"/>
  <c r="AC91" i="32"/>
  <c r="AA22" i="32"/>
  <c r="Q75" i="32"/>
  <c r="R91" i="32"/>
  <c r="AA6" i="32"/>
  <c r="V91" i="32"/>
  <c r="V115" i="32" s="1"/>
  <c r="C91" i="32"/>
  <c r="G91" i="32"/>
  <c r="K91" i="32"/>
  <c r="P91" i="32"/>
  <c r="O91" i="32"/>
  <c r="U91" i="32"/>
  <c r="U117" i="32" s="1"/>
  <c r="D91" i="32"/>
  <c r="H91" i="32"/>
  <c r="L91" i="32"/>
  <c r="X91" i="32"/>
  <c r="X120" i="32" s="1"/>
  <c r="E91" i="32"/>
  <c r="I91" i="32"/>
  <c r="M91" i="32"/>
  <c r="T91" i="32"/>
  <c r="Z91" i="32"/>
  <c r="Z120" i="32" s="1"/>
  <c r="AA71" i="32"/>
  <c r="AA4" i="32"/>
  <c r="AA20" i="32"/>
  <c r="AA35" i="32"/>
  <c r="AA56" i="32"/>
  <c r="AA59" i="32"/>
  <c r="AA64" i="32"/>
  <c r="AA67" i="32"/>
  <c r="AA29" i="32"/>
  <c r="AA45" i="32"/>
  <c r="AA61" i="32"/>
  <c r="AA25" i="32"/>
  <c r="AA36" i="32"/>
  <c r="AA39" i="32"/>
  <c r="AA44" i="32"/>
  <c r="AA47" i="32"/>
  <c r="AA52" i="32"/>
  <c r="AA63" i="32"/>
  <c r="AA68" i="32"/>
  <c r="AA38" i="32"/>
  <c r="AA41" i="32"/>
  <c r="AA46" i="32"/>
  <c r="AA49" i="32"/>
  <c r="AA57" i="32"/>
  <c r="AA65" i="32"/>
  <c r="AA7" i="32"/>
  <c r="AA15" i="32"/>
  <c r="AA23" i="32"/>
  <c r="N91" i="32"/>
  <c r="Q89" i="32"/>
  <c r="Q104" i="32"/>
  <c r="S95" i="32"/>
  <c r="Q2" i="32"/>
  <c r="S75" i="32"/>
  <c r="N104" i="32"/>
  <c r="S133" i="32" l="1"/>
  <c r="X126" i="32"/>
  <c r="E126" i="39"/>
  <c r="H126" i="39" s="1"/>
  <c r="AA75" i="32"/>
  <c r="S89" i="32"/>
  <c r="Q73" i="32"/>
  <c r="Q91" i="32" s="1"/>
  <c r="S2" i="32"/>
  <c r="S104" i="32"/>
  <c r="AP176" i="31"/>
  <c r="AO176" i="31"/>
  <c r="AI176" i="31"/>
  <c r="AC176" i="31"/>
  <c r="AA176" i="31"/>
  <c r="Y176" i="31"/>
  <c r="U176" i="31"/>
  <c r="Q176" i="31"/>
  <c r="I176" i="31"/>
  <c r="H176" i="31"/>
  <c r="G176" i="31"/>
  <c r="AM175" i="31"/>
  <c r="AQ175" i="31" s="1"/>
  <c r="AK174" i="31"/>
  <c r="AG174" i="31"/>
  <c r="W174" i="31"/>
  <c r="S174" i="31"/>
  <c r="L174" i="31"/>
  <c r="O174" i="31" s="1"/>
  <c r="J174" i="31"/>
  <c r="AK173" i="31"/>
  <c r="AG173" i="31"/>
  <c r="W173" i="31"/>
  <c r="S173" i="31"/>
  <c r="J173" i="31"/>
  <c r="L173" i="31" s="1"/>
  <c r="O173" i="31" s="1"/>
  <c r="AK172" i="31"/>
  <c r="AG172" i="31"/>
  <c r="W172" i="31"/>
  <c r="S172" i="31"/>
  <c r="J172" i="31"/>
  <c r="L172" i="31" s="1"/>
  <c r="O172" i="31" s="1"/>
  <c r="AK171" i="31"/>
  <c r="AG171" i="31"/>
  <c r="W171" i="31"/>
  <c r="S171" i="31"/>
  <c r="J171" i="31"/>
  <c r="L171" i="31" s="1"/>
  <c r="O171" i="31" s="1"/>
  <c r="AK170" i="31"/>
  <c r="AG170" i="31"/>
  <c r="W170" i="31"/>
  <c r="S170" i="31"/>
  <c r="J170" i="31"/>
  <c r="L170" i="31" s="1"/>
  <c r="O170" i="31" s="1"/>
  <c r="AK169" i="31"/>
  <c r="AG169" i="31"/>
  <c r="W169" i="31"/>
  <c r="S169" i="31"/>
  <c r="J169" i="31"/>
  <c r="L169" i="31" s="1"/>
  <c r="O169" i="31" s="1"/>
  <c r="AK168" i="31"/>
  <c r="AG168" i="31"/>
  <c r="W168" i="31"/>
  <c r="S168" i="31"/>
  <c r="J168" i="31"/>
  <c r="L168" i="31" s="1"/>
  <c r="O168" i="31" s="1"/>
  <c r="AK167" i="31"/>
  <c r="AG167" i="31"/>
  <c r="W167" i="31"/>
  <c r="S167" i="31"/>
  <c r="J167" i="31"/>
  <c r="L167" i="31" s="1"/>
  <c r="O167" i="31" s="1"/>
  <c r="AK166" i="31"/>
  <c r="AG166" i="31"/>
  <c r="W166" i="31"/>
  <c r="S166" i="31"/>
  <c r="J166" i="31"/>
  <c r="L166" i="31" s="1"/>
  <c r="O166" i="31" s="1"/>
  <c r="AK165" i="31"/>
  <c r="AG165" i="31"/>
  <c r="W165" i="31"/>
  <c r="S165" i="31"/>
  <c r="J165" i="31"/>
  <c r="L165" i="31" s="1"/>
  <c r="O165" i="31" s="1"/>
  <c r="AK164" i="31"/>
  <c r="AG164" i="31"/>
  <c r="W164" i="31"/>
  <c r="S164" i="31"/>
  <c r="J164" i="31"/>
  <c r="L164" i="31" s="1"/>
  <c r="O164" i="31" s="1"/>
  <c r="AK163" i="31"/>
  <c r="AG163" i="31"/>
  <c r="W163" i="31"/>
  <c r="S163" i="31"/>
  <c r="J163" i="31"/>
  <c r="L163" i="31" s="1"/>
  <c r="O163" i="31" s="1"/>
  <c r="AK162" i="31"/>
  <c r="AG162" i="31"/>
  <c r="W162" i="31"/>
  <c r="S162" i="31"/>
  <c r="L162" i="31"/>
  <c r="O162" i="31" s="1"/>
  <c r="J162" i="31"/>
  <c r="AK161" i="31"/>
  <c r="AG161" i="31"/>
  <c r="W161" i="31"/>
  <c r="S161" i="31"/>
  <c r="J161" i="31"/>
  <c r="L161" i="31" s="1"/>
  <c r="O161" i="31" s="1"/>
  <c r="AK160" i="31"/>
  <c r="AG160" i="31"/>
  <c r="W160" i="31"/>
  <c r="S160" i="31"/>
  <c r="J160" i="31"/>
  <c r="L160" i="31" s="1"/>
  <c r="O160" i="31" s="1"/>
  <c r="AK159" i="31"/>
  <c r="AG159" i="31"/>
  <c r="W159" i="31"/>
  <c r="S159" i="31"/>
  <c r="J159" i="31"/>
  <c r="L159" i="31" s="1"/>
  <c r="O159" i="31" s="1"/>
  <c r="AK158" i="31"/>
  <c r="AG158" i="31"/>
  <c r="W158" i="31"/>
  <c r="S158" i="31"/>
  <c r="J158" i="31"/>
  <c r="L158" i="31" s="1"/>
  <c r="O158" i="31" s="1"/>
  <c r="AK157" i="31"/>
  <c r="AG157" i="31"/>
  <c r="W157" i="31"/>
  <c r="S157" i="31"/>
  <c r="J157" i="31"/>
  <c r="L157" i="31" s="1"/>
  <c r="O157" i="31" s="1"/>
  <c r="AK156" i="31"/>
  <c r="AG156" i="31"/>
  <c r="W156" i="31"/>
  <c r="S156" i="31"/>
  <c r="J156" i="31"/>
  <c r="L156" i="31" s="1"/>
  <c r="O156" i="31" s="1"/>
  <c r="AK155" i="31"/>
  <c r="AG155" i="31"/>
  <c r="W155" i="31"/>
  <c r="S155" i="31"/>
  <c r="J155" i="31"/>
  <c r="L155" i="31" s="1"/>
  <c r="O155" i="31" s="1"/>
  <c r="AK154" i="31"/>
  <c r="AG154" i="31"/>
  <c r="W154" i="31"/>
  <c r="S154" i="31"/>
  <c r="J154" i="31"/>
  <c r="L154" i="31" s="1"/>
  <c r="O154" i="31" s="1"/>
  <c r="AK153" i="31"/>
  <c r="AG153" i="31"/>
  <c r="W153" i="31"/>
  <c r="S153" i="31"/>
  <c r="J153" i="31"/>
  <c r="L153" i="31" s="1"/>
  <c r="O153" i="31" s="1"/>
  <c r="AK152" i="31"/>
  <c r="AG152" i="31"/>
  <c r="W152" i="31"/>
  <c r="S152" i="31"/>
  <c r="L152" i="31"/>
  <c r="O152" i="31" s="1"/>
  <c r="J152" i="31"/>
  <c r="AK151" i="31"/>
  <c r="AG151" i="31"/>
  <c r="W151" i="31"/>
  <c r="S151" i="31"/>
  <c r="J151" i="31"/>
  <c r="L151" i="31" s="1"/>
  <c r="O151" i="31" s="1"/>
  <c r="AK150" i="31"/>
  <c r="AG150" i="31"/>
  <c r="W150" i="31"/>
  <c r="S150" i="31"/>
  <c r="J150" i="31"/>
  <c r="L150" i="31" s="1"/>
  <c r="O150" i="31" s="1"/>
  <c r="AK149" i="31"/>
  <c r="AG149" i="31"/>
  <c r="W149" i="31"/>
  <c r="S149" i="31"/>
  <c r="J149" i="31"/>
  <c r="L149" i="31" s="1"/>
  <c r="O149" i="31" s="1"/>
  <c r="AK148" i="31"/>
  <c r="AG148" i="31"/>
  <c r="W148" i="31"/>
  <c r="S148" i="31"/>
  <c r="J148" i="31"/>
  <c r="L148" i="31" s="1"/>
  <c r="O148" i="31" s="1"/>
  <c r="AK147" i="31"/>
  <c r="AG147" i="31"/>
  <c r="W147" i="31"/>
  <c r="S147" i="31"/>
  <c r="J147" i="31"/>
  <c r="L147" i="31" s="1"/>
  <c r="O147" i="31" s="1"/>
  <c r="AK146" i="31"/>
  <c r="AG146" i="31"/>
  <c r="W146" i="31"/>
  <c r="S146" i="31"/>
  <c r="J146" i="31"/>
  <c r="L146" i="31" s="1"/>
  <c r="O146" i="31" s="1"/>
  <c r="AK145" i="31"/>
  <c r="AG145" i="31"/>
  <c r="W145" i="31"/>
  <c r="S145" i="31"/>
  <c r="J145" i="31"/>
  <c r="L145" i="31" s="1"/>
  <c r="O145" i="31" s="1"/>
  <c r="AK144" i="31"/>
  <c r="AG144" i="31"/>
  <c r="W144" i="31"/>
  <c r="S144" i="31"/>
  <c r="J144" i="31"/>
  <c r="L144" i="31" s="1"/>
  <c r="O144" i="31" s="1"/>
  <c r="AK143" i="31"/>
  <c r="AG143" i="31"/>
  <c r="W143" i="31"/>
  <c r="S143" i="31"/>
  <c r="J143" i="31"/>
  <c r="L143" i="31" s="1"/>
  <c r="O143" i="31" s="1"/>
  <c r="AK142" i="31"/>
  <c r="AG142" i="31"/>
  <c r="W142" i="31"/>
  <c r="S142" i="31"/>
  <c r="J142" i="31"/>
  <c r="L142" i="31" s="1"/>
  <c r="O142" i="31" s="1"/>
  <c r="AK141" i="31"/>
  <c r="AG141" i="31"/>
  <c r="W141" i="31"/>
  <c r="S141" i="31"/>
  <c r="J141" i="31"/>
  <c r="L141" i="31" s="1"/>
  <c r="O141" i="31" s="1"/>
  <c r="AK140" i="31"/>
  <c r="AG140" i="31"/>
  <c r="W140" i="31"/>
  <c r="S140" i="31"/>
  <c r="L140" i="31"/>
  <c r="O140" i="31" s="1"/>
  <c r="J140" i="31"/>
  <c r="AK139" i="31"/>
  <c r="AG139" i="31"/>
  <c r="W139" i="31"/>
  <c r="S139" i="31"/>
  <c r="J139" i="31"/>
  <c r="L139" i="31" s="1"/>
  <c r="O139" i="31" s="1"/>
  <c r="AK138" i="31"/>
  <c r="AG138" i="31"/>
  <c r="W138" i="31"/>
  <c r="S138" i="31"/>
  <c r="J138" i="31"/>
  <c r="L138" i="31" s="1"/>
  <c r="O138" i="31" s="1"/>
  <c r="AK137" i="31"/>
  <c r="AG137" i="31"/>
  <c r="W137" i="31"/>
  <c r="S137" i="31"/>
  <c r="J137" i="31"/>
  <c r="L137" i="31" s="1"/>
  <c r="O137" i="31" s="1"/>
  <c r="AK136" i="31"/>
  <c r="AG136" i="31"/>
  <c r="W136" i="31"/>
  <c r="S136" i="31"/>
  <c r="J136" i="31"/>
  <c r="L136" i="31" s="1"/>
  <c r="O136" i="31" s="1"/>
  <c r="AK135" i="31"/>
  <c r="AG135" i="31"/>
  <c r="W135" i="31"/>
  <c r="S135" i="31"/>
  <c r="J135" i="31"/>
  <c r="L135" i="31" s="1"/>
  <c r="O135" i="31" s="1"/>
  <c r="AK134" i="31"/>
  <c r="AG134" i="31"/>
  <c r="W134" i="31"/>
  <c r="S134" i="31"/>
  <c r="J134" i="31"/>
  <c r="L134" i="31" s="1"/>
  <c r="O134" i="31" s="1"/>
  <c r="AK133" i="31"/>
  <c r="AG133" i="31"/>
  <c r="W133" i="31"/>
  <c r="S133" i="31"/>
  <c r="J133" i="31"/>
  <c r="L133" i="31" s="1"/>
  <c r="O133" i="31" s="1"/>
  <c r="AK132" i="31"/>
  <c r="AG132" i="31"/>
  <c r="W132" i="31"/>
  <c r="S132" i="31"/>
  <c r="J132" i="31"/>
  <c r="L132" i="31" s="1"/>
  <c r="O132" i="31" s="1"/>
  <c r="AK131" i="31"/>
  <c r="AG131" i="31"/>
  <c r="W131" i="31"/>
  <c r="S131" i="31"/>
  <c r="J131" i="31"/>
  <c r="L131" i="31" s="1"/>
  <c r="O131" i="31" s="1"/>
  <c r="AK130" i="31"/>
  <c r="AG130" i="31"/>
  <c r="W130" i="31"/>
  <c r="S130" i="31"/>
  <c r="J130" i="31"/>
  <c r="L130" i="31" s="1"/>
  <c r="O130" i="31" s="1"/>
  <c r="AK129" i="31"/>
  <c r="AG129" i="31"/>
  <c r="W129" i="31"/>
  <c r="S129" i="31"/>
  <c r="J129" i="31"/>
  <c r="L129" i="31" s="1"/>
  <c r="O129" i="31" s="1"/>
  <c r="AK128" i="31"/>
  <c r="AG128" i="31"/>
  <c r="W128" i="31"/>
  <c r="S128" i="31"/>
  <c r="J128" i="31"/>
  <c r="L128" i="31" s="1"/>
  <c r="O128" i="31" s="1"/>
  <c r="AK127" i="31"/>
  <c r="AG127" i="31"/>
  <c r="W127" i="31"/>
  <c r="S127" i="31"/>
  <c r="J127" i="31"/>
  <c r="L127" i="31" s="1"/>
  <c r="O127" i="31" s="1"/>
  <c r="AK126" i="31"/>
  <c r="AG126" i="31"/>
  <c r="W126" i="31"/>
  <c r="S126" i="31"/>
  <c r="J126" i="31"/>
  <c r="L126" i="31" s="1"/>
  <c r="O126" i="31" s="1"/>
  <c r="AK125" i="31"/>
  <c r="AG125" i="31"/>
  <c r="W125" i="31"/>
  <c r="S125" i="31"/>
  <c r="J125" i="31"/>
  <c r="L125" i="31" s="1"/>
  <c r="O125" i="31" s="1"/>
  <c r="AK124" i="31"/>
  <c r="AG124" i="31"/>
  <c r="W124" i="31"/>
  <c r="S124" i="31"/>
  <c r="J124" i="31"/>
  <c r="L124" i="31" s="1"/>
  <c r="O124" i="31" s="1"/>
  <c r="AK123" i="31"/>
  <c r="AG123" i="31"/>
  <c r="W123" i="31"/>
  <c r="S123" i="31"/>
  <c r="J123" i="31"/>
  <c r="L123" i="31" s="1"/>
  <c r="O123" i="31" s="1"/>
  <c r="AK122" i="31"/>
  <c r="AG122" i="31"/>
  <c r="W122" i="31"/>
  <c r="S122" i="31"/>
  <c r="J122" i="31"/>
  <c r="L122" i="31" s="1"/>
  <c r="O122" i="31" s="1"/>
  <c r="AK121" i="31"/>
  <c r="AG121" i="31"/>
  <c r="W121" i="31"/>
  <c r="S121" i="31"/>
  <c r="J121" i="31"/>
  <c r="L121" i="31" s="1"/>
  <c r="O121" i="31" s="1"/>
  <c r="AK120" i="31"/>
  <c r="AG120" i="31"/>
  <c r="W120" i="31"/>
  <c r="S120" i="31"/>
  <c r="J120" i="31"/>
  <c r="L120" i="31" s="1"/>
  <c r="O120" i="31" s="1"/>
  <c r="AK119" i="31"/>
  <c r="AG119" i="31"/>
  <c r="W119" i="31"/>
  <c r="S119" i="31"/>
  <c r="J119" i="31"/>
  <c r="L119" i="31" s="1"/>
  <c r="O119" i="31" s="1"/>
  <c r="AK118" i="31"/>
  <c r="AG118" i="31"/>
  <c r="W118" i="31"/>
  <c r="S118" i="31"/>
  <c r="J118" i="31"/>
  <c r="L118" i="31" s="1"/>
  <c r="O118" i="31" s="1"/>
  <c r="AK117" i="31"/>
  <c r="AG117" i="31"/>
  <c r="W117" i="31"/>
  <c r="S117" i="31"/>
  <c r="J117" i="31"/>
  <c r="L117" i="31" s="1"/>
  <c r="O117" i="31" s="1"/>
  <c r="AK116" i="31"/>
  <c r="AG116" i="31"/>
  <c r="W116" i="31"/>
  <c r="S116" i="31"/>
  <c r="J116" i="31"/>
  <c r="L116" i="31" s="1"/>
  <c r="O116" i="31" s="1"/>
  <c r="AK115" i="31"/>
  <c r="AG115" i="31"/>
  <c r="W115" i="31"/>
  <c r="S115" i="31"/>
  <c r="J115" i="31"/>
  <c r="L115" i="31" s="1"/>
  <c r="O115" i="31" s="1"/>
  <c r="AK114" i="31"/>
  <c r="AG114" i="31"/>
  <c r="W114" i="31"/>
  <c r="S114" i="31"/>
  <c r="J114" i="31"/>
  <c r="L114" i="31" s="1"/>
  <c r="O114" i="31" s="1"/>
  <c r="AK113" i="31"/>
  <c r="AG113" i="31"/>
  <c r="W113" i="31"/>
  <c r="S113" i="31"/>
  <c r="J113" i="31"/>
  <c r="L113" i="31" s="1"/>
  <c r="O113" i="31" s="1"/>
  <c r="AK112" i="31"/>
  <c r="AG112" i="31"/>
  <c r="W112" i="31"/>
  <c r="S112" i="31"/>
  <c r="J112" i="31"/>
  <c r="L112" i="31" s="1"/>
  <c r="O112" i="31" s="1"/>
  <c r="AK111" i="31"/>
  <c r="AG111" i="31"/>
  <c r="W111" i="31"/>
  <c r="S111" i="31"/>
  <c r="J111" i="31"/>
  <c r="L111" i="31" s="1"/>
  <c r="O111" i="31" s="1"/>
  <c r="AK110" i="31"/>
  <c r="AG110" i="31"/>
  <c r="W110" i="31"/>
  <c r="S110" i="31"/>
  <c r="J110" i="31"/>
  <c r="L110" i="31" s="1"/>
  <c r="O110" i="31" s="1"/>
  <c r="AK109" i="31"/>
  <c r="AG109" i="31"/>
  <c r="W109" i="31"/>
  <c r="S109" i="31"/>
  <c r="J109" i="31"/>
  <c r="L109" i="31" s="1"/>
  <c r="O109" i="31" s="1"/>
  <c r="AK108" i="31"/>
  <c r="AG108" i="31"/>
  <c r="W108" i="31"/>
  <c r="S108" i="31"/>
  <c r="J108" i="31"/>
  <c r="L108" i="31" s="1"/>
  <c r="O108" i="31" s="1"/>
  <c r="AK107" i="31"/>
  <c r="AG107" i="31"/>
  <c r="W107" i="31"/>
  <c r="S107" i="31"/>
  <c r="J107" i="31"/>
  <c r="L107" i="31" s="1"/>
  <c r="O107" i="31" s="1"/>
  <c r="AK106" i="31"/>
  <c r="AG106" i="31"/>
  <c r="W106" i="31"/>
  <c r="S106" i="31"/>
  <c r="J106" i="31"/>
  <c r="L106" i="31" s="1"/>
  <c r="O106" i="31" s="1"/>
  <c r="AK105" i="31"/>
  <c r="AG105" i="31"/>
  <c r="W105" i="31"/>
  <c r="S105" i="31"/>
  <c r="J105" i="31"/>
  <c r="L105" i="31" s="1"/>
  <c r="O105" i="31" s="1"/>
  <c r="AK104" i="31"/>
  <c r="AG104" i="31"/>
  <c r="W104" i="31"/>
  <c r="S104" i="31"/>
  <c r="J104" i="31"/>
  <c r="L104" i="31" s="1"/>
  <c r="O104" i="31" s="1"/>
  <c r="AK103" i="31"/>
  <c r="AG103" i="31"/>
  <c r="W103" i="31"/>
  <c r="S103" i="31"/>
  <c r="J103" i="31"/>
  <c r="L103" i="31" s="1"/>
  <c r="O103" i="31" s="1"/>
  <c r="AK102" i="31"/>
  <c r="AG102" i="31"/>
  <c r="W102" i="31"/>
  <c r="S102" i="31"/>
  <c r="J102" i="31"/>
  <c r="L102" i="31" s="1"/>
  <c r="O102" i="31" s="1"/>
  <c r="AK101" i="31"/>
  <c r="AG101" i="31"/>
  <c r="W101" i="31"/>
  <c r="S101" i="31"/>
  <c r="J101" i="31"/>
  <c r="L101" i="31" s="1"/>
  <c r="O101" i="31" s="1"/>
  <c r="AK100" i="31"/>
  <c r="AG100" i="31"/>
  <c r="W100" i="31"/>
  <c r="S100" i="31"/>
  <c r="J100" i="31"/>
  <c r="L100" i="31" s="1"/>
  <c r="O100" i="31" s="1"/>
  <c r="AK99" i="31"/>
  <c r="AG99" i="31"/>
  <c r="W99" i="31"/>
  <c r="S99" i="31"/>
  <c r="J99" i="31"/>
  <c r="L99" i="31" s="1"/>
  <c r="O99" i="31" s="1"/>
  <c r="AK98" i="31"/>
  <c r="AG98" i="31"/>
  <c r="W98" i="31"/>
  <c r="S98" i="31"/>
  <c r="L98" i="31"/>
  <c r="O98" i="31" s="1"/>
  <c r="J98" i="31"/>
  <c r="AK97" i="31"/>
  <c r="AG97" i="31"/>
  <c r="W97" i="31"/>
  <c r="S97" i="31"/>
  <c r="J97" i="31"/>
  <c r="L97" i="31" s="1"/>
  <c r="O97" i="31" s="1"/>
  <c r="AK96" i="31"/>
  <c r="AG96" i="31"/>
  <c r="W96" i="31"/>
  <c r="S96" i="31"/>
  <c r="J96" i="31"/>
  <c r="L96" i="31" s="1"/>
  <c r="O96" i="31" s="1"/>
  <c r="AK95" i="31"/>
  <c r="AG95" i="31"/>
  <c r="W95" i="31"/>
  <c r="S95" i="31"/>
  <c r="O95" i="31"/>
  <c r="J95" i="31"/>
  <c r="L95" i="31" s="1"/>
  <c r="AK94" i="31"/>
  <c r="AG94" i="31"/>
  <c r="W94" i="31"/>
  <c r="S94" i="31"/>
  <c r="J94" i="31"/>
  <c r="L94" i="31" s="1"/>
  <c r="O94" i="31" s="1"/>
  <c r="AK93" i="31"/>
  <c r="AG93" i="31"/>
  <c r="W93" i="31"/>
  <c r="S93" i="31"/>
  <c r="J93" i="31"/>
  <c r="L93" i="31" s="1"/>
  <c r="O93" i="31" s="1"/>
  <c r="AK92" i="31"/>
  <c r="AG92" i="31"/>
  <c r="W92" i="31"/>
  <c r="S92" i="31"/>
  <c r="J92" i="31"/>
  <c r="L92" i="31" s="1"/>
  <c r="O92" i="31" s="1"/>
  <c r="AK91" i="31"/>
  <c r="AG91" i="31"/>
  <c r="W91" i="31"/>
  <c r="S91" i="31"/>
  <c r="J91" i="31"/>
  <c r="L91" i="31" s="1"/>
  <c r="O91" i="31" s="1"/>
  <c r="AK90" i="31"/>
  <c r="AG90" i="31"/>
  <c r="W90" i="31"/>
  <c r="S90" i="31"/>
  <c r="L90" i="31"/>
  <c r="O90" i="31" s="1"/>
  <c r="J90" i="31"/>
  <c r="AK89" i="31"/>
  <c r="AG89" i="31"/>
  <c r="W89" i="31"/>
  <c r="S89" i="31"/>
  <c r="J89" i="31"/>
  <c r="L89" i="31" s="1"/>
  <c r="O89" i="31" s="1"/>
  <c r="AK88" i="31"/>
  <c r="AG88" i="31"/>
  <c r="W88" i="31"/>
  <c r="S88" i="31"/>
  <c r="J88" i="31"/>
  <c r="L88" i="31" s="1"/>
  <c r="O88" i="31" s="1"/>
  <c r="AK87" i="31"/>
  <c r="AG87" i="31"/>
  <c r="W87" i="31"/>
  <c r="S87" i="31"/>
  <c r="J87" i="31"/>
  <c r="L87" i="31" s="1"/>
  <c r="O87" i="31" s="1"/>
  <c r="AK86" i="31"/>
  <c r="AG86" i="31"/>
  <c r="W86" i="31"/>
  <c r="S86" i="31"/>
  <c r="L86" i="31"/>
  <c r="O86" i="31" s="1"/>
  <c r="J86" i="31"/>
  <c r="AK85" i="31"/>
  <c r="AG85" i="31"/>
  <c r="W85" i="31"/>
  <c r="S85" i="31"/>
  <c r="J85" i="31"/>
  <c r="L85" i="31" s="1"/>
  <c r="O85" i="31" s="1"/>
  <c r="AK84" i="31"/>
  <c r="AG84" i="31"/>
  <c r="W84" i="31"/>
  <c r="S84" i="31"/>
  <c r="J84" i="31"/>
  <c r="L84" i="31" s="1"/>
  <c r="O84" i="31" s="1"/>
  <c r="AK83" i="31"/>
  <c r="AG83" i="31"/>
  <c r="W83" i="31"/>
  <c r="S83" i="31"/>
  <c r="J83" i="31"/>
  <c r="L83" i="31" s="1"/>
  <c r="O83" i="31" s="1"/>
  <c r="AK82" i="31"/>
  <c r="AG82" i="31"/>
  <c r="W82" i="31"/>
  <c r="S82" i="31"/>
  <c r="J82" i="31"/>
  <c r="L82" i="31" s="1"/>
  <c r="O82" i="31" s="1"/>
  <c r="AK81" i="31"/>
  <c r="AG81" i="31"/>
  <c r="W81" i="31"/>
  <c r="S81" i="31"/>
  <c r="J81" i="31"/>
  <c r="L81" i="31" s="1"/>
  <c r="O81" i="31" s="1"/>
  <c r="AK80" i="31"/>
  <c r="AG80" i="31"/>
  <c r="W80" i="31"/>
  <c r="S80" i="31"/>
  <c r="J80" i="31"/>
  <c r="L80" i="31" s="1"/>
  <c r="O80" i="31" s="1"/>
  <c r="AK79" i="31"/>
  <c r="AG79" i="31"/>
  <c r="W79" i="31"/>
  <c r="S79" i="31"/>
  <c r="J79" i="31"/>
  <c r="L79" i="31" s="1"/>
  <c r="O79" i="31" s="1"/>
  <c r="AK78" i="31"/>
  <c r="AG78" i="31"/>
  <c r="W78" i="31"/>
  <c r="S78" i="31"/>
  <c r="J78" i="31"/>
  <c r="L78" i="31" s="1"/>
  <c r="O78" i="31" s="1"/>
  <c r="AK77" i="31"/>
  <c r="AG77" i="31"/>
  <c r="W77" i="31"/>
  <c r="S77" i="31"/>
  <c r="J77" i="31"/>
  <c r="L77" i="31" s="1"/>
  <c r="O77" i="31" s="1"/>
  <c r="AK76" i="31"/>
  <c r="AG76" i="31"/>
  <c r="W76" i="31"/>
  <c r="S76" i="31"/>
  <c r="L76" i="31"/>
  <c r="O76" i="31" s="1"/>
  <c r="J76" i="31"/>
  <c r="AK75" i="31"/>
  <c r="AG75" i="31"/>
  <c r="W75" i="31"/>
  <c r="S75" i="31"/>
  <c r="J75" i="31"/>
  <c r="L75" i="31" s="1"/>
  <c r="O75" i="31" s="1"/>
  <c r="AK74" i="31"/>
  <c r="AG74" i="31"/>
  <c r="W74" i="31"/>
  <c r="S74" i="31"/>
  <c r="J74" i="31"/>
  <c r="L74" i="31" s="1"/>
  <c r="O74" i="31" s="1"/>
  <c r="AK73" i="31"/>
  <c r="AG73" i="31"/>
  <c r="W73" i="31"/>
  <c r="S73" i="31"/>
  <c r="J73" i="31"/>
  <c r="L73" i="31" s="1"/>
  <c r="O73" i="31" s="1"/>
  <c r="AK72" i="31"/>
  <c r="AG72" i="31"/>
  <c r="W72" i="31"/>
  <c r="S72" i="31"/>
  <c r="J72" i="31"/>
  <c r="L72" i="31" s="1"/>
  <c r="O72" i="31" s="1"/>
  <c r="AK71" i="31"/>
  <c r="AG71" i="31"/>
  <c r="W71" i="31"/>
  <c r="S71" i="31"/>
  <c r="J71" i="31"/>
  <c r="L71" i="31" s="1"/>
  <c r="O71" i="31" s="1"/>
  <c r="AK70" i="31"/>
  <c r="AG70" i="31"/>
  <c r="W70" i="31"/>
  <c r="S70" i="31"/>
  <c r="J70" i="31"/>
  <c r="L70" i="31" s="1"/>
  <c r="O70" i="31" s="1"/>
  <c r="AK69" i="31"/>
  <c r="AG69" i="31"/>
  <c r="W69" i="31"/>
  <c r="S69" i="31"/>
  <c r="J69" i="31"/>
  <c r="L69" i="31" s="1"/>
  <c r="O69" i="31" s="1"/>
  <c r="AK68" i="31"/>
  <c r="AG68" i="31"/>
  <c r="W68" i="31"/>
  <c r="S68" i="31"/>
  <c r="J68" i="31"/>
  <c r="L68" i="31" s="1"/>
  <c r="O68" i="31" s="1"/>
  <c r="AK67" i="31"/>
  <c r="AG67" i="31"/>
  <c r="W67" i="31"/>
  <c r="S67" i="31"/>
  <c r="J67" i="31"/>
  <c r="L67" i="31" s="1"/>
  <c r="O67" i="31" s="1"/>
  <c r="AK66" i="31"/>
  <c r="AG66" i="31"/>
  <c r="W66" i="31"/>
  <c r="S66" i="31"/>
  <c r="J66" i="31"/>
  <c r="L66" i="31" s="1"/>
  <c r="O66" i="31" s="1"/>
  <c r="AK65" i="31"/>
  <c r="AG65" i="31"/>
  <c r="W65" i="31"/>
  <c r="S65" i="31"/>
  <c r="J65" i="31"/>
  <c r="L65" i="31" s="1"/>
  <c r="O65" i="31" s="1"/>
  <c r="AK64" i="31"/>
  <c r="AG64" i="31"/>
  <c r="W64" i="31"/>
  <c r="S64" i="31"/>
  <c r="L64" i="31"/>
  <c r="O64" i="31" s="1"/>
  <c r="J64" i="31"/>
  <c r="AK63" i="31"/>
  <c r="AG63" i="31"/>
  <c r="W63" i="31"/>
  <c r="S63" i="31"/>
  <c r="J63" i="31"/>
  <c r="L63" i="31" s="1"/>
  <c r="O63" i="31" s="1"/>
  <c r="AK62" i="31"/>
  <c r="AG62" i="31"/>
  <c r="W62" i="31"/>
  <c r="S62" i="31"/>
  <c r="L62" i="31"/>
  <c r="O62" i="31" s="1"/>
  <c r="J62" i="31"/>
  <c r="AK61" i="31"/>
  <c r="AG61" i="31"/>
  <c r="W61" i="31"/>
  <c r="S61" i="31"/>
  <c r="J61" i="31"/>
  <c r="AP56" i="31"/>
  <c r="AO56" i="31"/>
  <c r="AO57" i="31" s="1"/>
  <c r="AI56" i="31"/>
  <c r="AC56" i="31"/>
  <c r="AA56" i="31"/>
  <c r="Y56" i="31"/>
  <c r="U56" i="31"/>
  <c r="I56" i="31"/>
  <c r="H56" i="31"/>
  <c r="G56" i="31"/>
  <c r="AK54" i="31"/>
  <c r="AG54" i="31"/>
  <c r="W54" i="31"/>
  <c r="S54" i="31"/>
  <c r="AM54" i="31" s="1"/>
  <c r="AQ54" i="31" s="1"/>
  <c r="J54" i="31"/>
  <c r="K54" i="31" s="1"/>
  <c r="L54" i="31" s="1"/>
  <c r="O54" i="31" s="1"/>
  <c r="F54" i="31"/>
  <c r="AK53" i="31"/>
  <c r="AG53" i="31"/>
  <c r="W53" i="31"/>
  <c r="S53" i="31"/>
  <c r="J53" i="31"/>
  <c r="F53" i="31"/>
  <c r="AK52" i="31"/>
  <c r="AG52" i="31"/>
  <c r="W52" i="31"/>
  <c r="S52" i="31"/>
  <c r="J52" i="31"/>
  <c r="F52" i="31"/>
  <c r="AK51" i="31"/>
  <c r="AG51" i="31"/>
  <c r="W51" i="31"/>
  <c r="S51" i="31"/>
  <c r="J51" i="31"/>
  <c r="F51" i="31"/>
  <c r="K51" i="31" s="1"/>
  <c r="L51" i="31" s="1"/>
  <c r="O51" i="31" s="1"/>
  <c r="AK50" i="31"/>
  <c r="AG50" i="31"/>
  <c r="W50" i="31"/>
  <c r="S50" i="31"/>
  <c r="J50" i="31"/>
  <c r="F50" i="31"/>
  <c r="AK49" i="31"/>
  <c r="AG49" i="31"/>
  <c r="W49" i="31"/>
  <c r="S49" i="31"/>
  <c r="J49" i="31"/>
  <c r="F49" i="31"/>
  <c r="AK48" i="31"/>
  <c r="AG48" i="31"/>
  <c r="W48" i="31"/>
  <c r="S48" i="31"/>
  <c r="J48" i="31"/>
  <c r="F48" i="31"/>
  <c r="AK47" i="31"/>
  <c r="AG47" i="31"/>
  <c r="W47" i="31"/>
  <c r="S47" i="31"/>
  <c r="K47" i="31"/>
  <c r="L47" i="31" s="1"/>
  <c r="O47" i="31" s="1"/>
  <c r="J47" i="31"/>
  <c r="F47" i="31"/>
  <c r="AK46" i="31"/>
  <c r="AG46" i="31"/>
  <c r="W46" i="31"/>
  <c r="S46" i="31"/>
  <c r="J46" i="31"/>
  <c r="F46" i="31"/>
  <c r="AK45" i="31"/>
  <c r="AG45" i="31"/>
  <c r="W45" i="31"/>
  <c r="S45" i="31"/>
  <c r="J45" i="31"/>
  <c r="F45" i="31"/>
  <c r="AK44" i="31"/>
  <c r="AG44" i="31"/>
  <c r="W44" i="31"/>
  <c r="S44" i="31"/>
  <c r="J44" i="31"/>
  <c r="F44" i="31"/>
  <c r="K44" i="31" s="1"/>
  <c r="L44" i="31" s="1"/>
  <c r="O44" i="31" s="1"/>
  <c r="AK43" i="31"/>
  <c r="AG43" i="31"/>
  <c r="W43" i="31"/>
  <c r="S43" i="31"/>
  <c r="J43" i="31"/>
  <c r="F43" i="31"/>
  <c r="AK42" i="31"/>
  <c r="AG42" i="31"/>
  <c r="W42" i="31"/>
  <c r="S42" i="31"/>
  <c r="J42" i="31"/>
  <c r="F42" i="31"/>
  <c r="AK41" i="31"/>
  <c r="AG41" i="31"/>
  <c r="W41" i="31"/>
  <c r="S41" i="31"/>
  <c r="J41" i="31"/>
  <c r="F41" i="31"/>
  <c r="AK40" i="31"/>
  <c r="AG40" i="31"/>
  <c r="W40" i="31"/>
  <c r="S40" i="31"/>
  <c r="J40" i="31"/>
  <c r="F40" i="31"/>
  <c r="AK39" i="31"/>
  <c r="AG39" i="31"/>
  <c r="W39" i="31"/>
  <c r="S39" i="31"/>
  <c r="K39" i="31"/>
  <c r="L39" i="31" s="1"/>
  <c r="O39" i="31" s="1"/>
  <c r="J39" i="31"/>
  <c r="F39" i="31"/>
  <c r="AK38" i="31"/>
  <c r="AG38" i="31"/>
  <c r="W38" i="31"/>
  <c r="S38" i="31"/>
  <c r="J38" i="31"/>
  <c r="F38" i="31"/>
  <c r="AK37" i="31"/>
  <c r="AG37" i="31"/>
  <c r="W37" i="31"/>
  <c r="S37" i="31"/>
  <c r="J37" i="31"/>
  <c r="F37" i="31"/>
  <c r="AK36" i="31"/>
  <c r="AG36" i="31"/>
  <c r="W36" i="31"/>
  <c r="S36" i="31"/>
  <c r="J36" i="31"/>
  <c r="F36" i="31"/>
  <c r="AK35" i="31"/>
  <c r="AG35" i="31"/>
  <c r="W35" i="31"/>
  <c r="S35" i="31"/>
  <c r="J35" i="31"/>
  <c r="F35" i="31"/>
  <c r="K35" i="31" s="1"/>
  <c r="L35" i="31" s="1"/>
  <c r="O35" i="31" s="1"/>
  <c r="AK34" i="31"/>
  <c r="AG34" i="31"/>
  <c r="W34" i="31"/>
  <c r="S34" i="31"/>
  <c r="K34" i="31"/>
  <c r="L34" i="31" s="1"/>
  <c r="O34" i="31" s="1"/>
  <c r="J34" i="31"/>
  <c r="F34" i="31"/>
  <c r="AK33" i="31"/>
  <c r="AG33" i="31"/>
  <c r="W33" i="31"/>
  <c r="S33" i="31"/>
  <c r="J33" i="31"/>
  <c r="F33" i="31"/>
  <c r="K33" i="31" s="1"/>
  <c r="L33" i="31" s="1"/>
  <c r="O33" i="31" s="1"/>
  <c r="AK32" i="31"/>
  <c r="AG32" i="31"/>
  <c r="W32" i="31"/>
  <c r="S32" i="31"/>
  <c r="J32" i="31"/>
  <c r="F32" i="31"/>
  <c r="AK31" i="31"/>
  <c r="AG31" i="31"/>
  <c r="W31" i="31"/>
  <c r="S31" i="31"/>
  <c r="J31" i="31"/>
  <c r="F31" i="31"/>
  <c r="K31" i="31" s="1"/>
  <c r="L31" i="31" s="1"/>
  <c r="O31" i="31" s="1"/>
  <c r="AK30" i="31"/>
  <c r="AG30" i="31"/>
  <c r="W30" i="31"/>
  <c r="S30" i="31"/>
  <c r="J30" i="31"/>
  <c r="F30" i="31"/>
  <c r="AK29" i="31"/>
  <c r="AG29" i="31"/>
  <c r="W29" i="31"/>
  <c r="S29" i="31"/>
  <c r="J29" i="31"/>
  <c r="K29" i="31" s="1"/>
  <c r="L29" i="31" s="1"/>
  <c r="O29" i="31" s="1"/>
  <c r="F29" i="31"/>
  <c r="AK28" i="31"/>
  <c r="AG28" i="31"/>
  <c r="W28" i="31"/>
  <c r="S28" i="31"/>
  <c r="J28" i="31"/>
  <c r="F28" i="31"/>
  <c r="K28" i="31" s="1"/>
  <c r="L28" i="31" s="1"/>
  <c r="O28" i="31" s="1"/>
  <c r="AK27" i="31"/>
  <c r="AG27" i="31"/>
  <c r="W27" i="31"/>
  <c r="S27" i="31"/>
  <c r="J27" i="31"/>
  <c r="F27" i="31"/>
  <c r="AK26" i="31"/>
  <c r="AG26" i="31"/>
  <c r="W26" i="31"/>
  <c r="S26" i="31"/>
  <c r="J26" i="31"/>
  <c r="F26" i="31"/>
  <c r="AK25" i="31"/>
  <c r="AG25" i="31"/>
  <c r="W25" i="31"/>
  <c r="S25" i="31"/>
  <c r="J25" i="31"/>
  <c r="F25" i="31"/>
  <c r="AK24" i="31"/>
  <c r="AG24" i="31"/>
  <c r="W24" i="31"/>
  <c r="S24" i="31"/>
  <c r="J24" i="31"/>
  <c r="F24" i="31"/>
  <c r="AK23" i="31"/>
  <c r="AG23" i="31"/>
  <c r="W23" i="31"/>
  <c r="S23" i="31"/>
  <c r="J23" i="31"/>
  <c r="F23" i="31"/>
  <c r="AK22" i="31"/>
  <c r="AG22" i="31"/>
  <c r="W22" i="31"/>
  <c r="S22" i="31"/>
  <c r="J22" i="31"/>
  <c r="F22" i="31"/>
  <c r="AK21" i="31"/>
  <c r="AG21" i="31"/>
  <c r="W21" i="31"/>
  <c r="S21" i="31"/>
  <c r="K21" i="31"/>
  <c r="L21" i="31" s="1"/>
  <c r="O21" i="31" s="1"/>
  <c r="J21" i="31"/>
  <c r="F21" i="31"/>
  <c r="AK20" i="31"/>
  <c r="AG20" i="31"/>
  <c r="W20" i="31"/>
  <c r="S20" i="31"/>
  <c r="J20" i="31"/>
  <c r="F20" i="31"/>
  <c r="AK19" i="31"/>
  <c r="AG19" i="31"/>
  <c r="W19" i="31"/>
  <c r="S19" i="31"/>
  <c r="J19" i="31"/>
  <c r="F19" i="31"/>
  <c r="AK18" i="31"/>
  <c r="AG18" i="31"/>
  <c r="W18" i="31"/>
  <c r="S18" i="31"/>
  <c r="J18" i="31"/>
  <c r="L18" i="31" s="1"/>
  <c r="O18" i="31" s="1"/>
  <c r="F18" i="31"/>
  <c r="AK17" i="31"/>
  <c r="AG17" i="31"/>
  <c r="W17" i="31"/>
  <c r="S17" i="31"/>
  <c r="J17" i="31"/>
  <c r="F17" i="31"/>
  <c r="K17" i="31" s="1"/>
  <c r="L17" i="31" s="1"/>
  <c r="O17" i="31" s="1"/>
  <c r="AK16" i="31"/>
  <c r="AG16" i="31"/>
  <c r="W16" i="31"/>
  <c r="S16" i="31"/>
  <c r="J16" i="31"/>
  <c r="F16" i="31"/>
  <c r="AK15" i="31"/>
  <c r="AG15" i="31"/>
  <c r="W15" i="31"/>
  <c r="S15" i="31"/>
  <c r="J15" i="31"/>
  <c r="F15" i="31"/>
  <c r="AK14" i="31"/>
  <c r="AG14" i="31"/>
  <c r="W14" i="31"/>
  <c r="S14" i="31"/>
  <c r="J14" i="31"/>
  <c r="K14" i="31" s="1"/>
  <c r="L14" i="31" s="1"/>
  <c r="O14" i="31" s="1"/>
  <c r="F14" i="31"/>
  <c r="AK13" i="31"/>
  <c r="AG13" i="31"/>
  <c r="W13" i="31"/>
  <c r="Q13" i="31"/>
  <c r="Q56" i="31" s="1"/>
  <c r="J13" i="31"/>
  <c r="K13" i="31" s="1"/>
  <c r="L13" i="31" s="1"/>
  <c r="O13" i="31" s="1"/>
  <c r="F13" i="31"/>
  <c r="E13" i="31"/>
  <c r="E56" i="31" s="1"/>
  <c r="E177" i="31" s="1"/>
  <c r="AK12" i="31"/>
  <c r="AG12" i="31"/>
  <c r="W12" i="31"/>
  <c r="S12" i="31"/>
  <c r="J12" i="31"/>
  <c r="F12" i="31"/>
  <c r="AK11" i="31"/>
  <c r="AG11" i="31"/>
  <c r="W11" i="31"/>
  <c r="S11" i="31"/>
  <c r="J11" i="31"/>
  <c r="F11" i="31"/>
  <c r="AK10" i="31"/>
  <c r="AG10" i="31"/>
  <c r="W10" i="31"/>
  <c r="S10" i="31"/>
  <c r="J10" i="31"/>
  <c r="F10" i="31"/>
  <c r="AK9" i="31"/>
  <c r="AG9" i="31"/>
  <c r="W9" i="31"/>
  <c r="S9" i="31"/>
  <c r="J9" i="31"/>
  <c r="F9" i="31"/>
  <c r="AK8" i="31"/>
  <c r="AG8" i="31"/>
  <c r="W8" i="31"/>
  <c r="S8" i="31"/>
  <c r="J8" i="31"/>
  <c r="F8" i="31"/>
  <c r="K8" i="31" s="1"/>
  <c r="L8" i="31" s="1"/>
  <c r="O8" i="31" s="1"/>
  <c r="AK7" i="31"/>
  <c r="AG7" i="31"/>
  <c r="W7" i="31"/>
  <c r="S7" i="31"/>
  <c r="J7" i="31"/>
  <c r="F7" i="31"/>
  <c r="Y102" i="32" l="1"/>
  <c r="AA102" i="32" s="1"/>
  <c r="K16" i="31"/>
  <c r="L16" i="31" s="1"/>
  <c r="O16" i="31" s="1"/>
  <c r="K23" i="31"/>
  <c r="L23" i="31" s="1"/>
  <c r="O23" i="31" s="1"/>
  <c r="K25" i="31"/>
  <c r="L25" i="31" s="1"/>
  <c r="O25" i="31" s="1"/>
  <c r="K49" i="31"/>
  <c r="L49" i="31" s="1"/>
  <c r="O49" i="31" s="1"/>
  <c r="AM66" i="31"/>
  <c r="AQ66" i="31" s="1"/>
  <c r="G177" i="31"/>
  <c r="U177" i="31"/>
  <c r="AI177" i="31"/>
  <c r="B190" i="31"/>
  <c r="H177" i="31"/>
  <c r="Y177" i="31"/>
  <c r="K12" i="31"/>
  <c r="L12" i="31" s="1"/>
  <c r="O12" i="31" s="1"/>
  <c r="K15" i="31"/>
  <c r="L15" i="31" s="1"/>
  <c r="O15" i="31" s="1"/>
  <c r="I177" i="31"/>
  <c r="AA177" i="31"/>
  <c r="AP177" i="31"/>
  <c r="S13" i="31"/>
  <c r="K19" i="31"/>
  <c r="L19" i="31" s="1"/>
  <c r="O19" i="31" s="1"/>
  <c r="K41" i="31"/>
  <c r="L41" i="31" s="1"/>
  <c r="O41" i="31" s="1"/>
  <c r="K52" i="31"/>
  <c r="L52" i="31" s="1"/>
  <c r="O52" i="31" s="1"/>
  <c r="AM90" i="31"/>
  <c r="AQ90" i="31" s="1"/>
  <c r="AM100" i="31"/>
  <c r="AQ100" i="31" s="1"/>
  <c r="Q177" i="31"/>
  <c r="AC177" i="31"/>
  <c r="AO177" i="31"/>
  <c r="C28" i="39" s="1"/>
  <c r="AM78" i="31"/>
  <c r="AQ78" i="31" s="1"/>
  <c r="AM94" i="31"/>
  <c r="AQ94" i="31" s="1"/>
  <c r="AM10" i="31"/>
  <c r="AQ10" i="31" s="1"/>
  <c r="Y8" i="32" s="1"/>
  <c r="AA8" i="32" s="1"/>
  <c r="AM84" i="31"/>
  <c r="AQ84" i="31" s="1"/>
  <c r="AM132" i="31"/>
  <c r="AQ132" i="31" s="1"/>
  <c r="AM138" i="31"/>
  <c r="AQ138" i="31" s="1"/>
  <c r="AM144" i="31"/>
  <c r="AQ144" i="31" s="1"/>
  <c r="AM164" i="31"/>
  <c r="AQ164" i="31" s="1"/>
  <c r="AM170" i="31"/>
  <c r="AQ170" i="31" s="1"/>
  <c r="K26" i="31"/>
  <c r="L26" i="31" s="1"/>
  <c r="O26" i="31" s="1"/>
  <c r="K38" i="31"/>
  <c r="L38" i="31" s="1"/>
  <c r="O38" i="31" s="1"/>
  <c r="AM38" i="31" s="1"/>
  <c r="AQ38" i="31" s="1"/>
  <c r="Y43" i="32" s="1"/>
  <c r="AA43" i="32" s="1"/>
  <c r="K42" i="31"/>
  <c r="L42" i="31" s="1"/>
  <c r="O42" i="31" s="1"/>
  <c r="K46" i="31"/>
  <c r="L46" i="31" s="1"/>
  <c r="O46" i="31" s="1"/>
  <c r="AM46" i="31" s="1"/>
  <c r="AQ46" i="31" s="1"/>
  <c r="Y60" i="32" s="1"/>
  <c r="AA60" i="32" s="1"/>
  <c r="K50" i="31"/>
  <c r="L50" i="31" s="1"/>
  <c r="O50" i="31" s="1"/>
  <c r="AM62" i="31"/>
  <c r="AQ62" i="31" s="1"/>
  <c r="AM68" i="31"/>
  <c r="AQ68" i="31" s="1"/>
  <c r="AM74" i="31"/>
  <c r="AQ74" i="31" s="1"/>
  <c r="AM86" i="31"/>
  <c r="AQ86" i="31" s="1"/>
  <c r="AM92" i="31"/>
  <c r="AQ92" i="31" s="1"/>
  <c r="AM101" i="31"/>
  <c r="AQ101" i="31" s="1"/>
  <c r="AM104" i="31"/>
  <c r="AQ104" i="31" s="1"/>
  <c r="AM112" i="31"/>
  <c r="AQ112" i="31" s="1"/>
  <c r="AM120" i="31"/>
  <c r="AQ120" i="31" s="1"/>
  <c r="AM140" i="31"/>
  <c r="AQ140" i="31" s="1"/>
  <c r="AM146" i="31"/>
  <c r="AQ146" i="31" s="1"/>
  <c r="AM152" i="31"/>
  <c r="AQ152" i="31" s="1"/>
  <c r="AM172" i="31"/>
  <c r="AQ172" i="31" s="1"/>
  <c r="K9" i="31"/>
  <c r="L9" i="31" s="1"/>
  <c r="O9" i="31" s="1"/>
  <c r="B188" i="31" s="1"/>
  <c r="K30" i="31"/>
  <c r="L30" i="31" s="1"/>
  <c r="O30" i="31" s="1"/>
  <c r="K10" i="31"/>
  <c r="L10" i="31" s="1"/>
  <c r="O10" i="31" s="1"/>
  <c r="AM17" i="31"/>
  <c r="AQ17" i="31" s="1"/>
  <c r="Y14" i="32" s="1"/>
  <c r="AA14" i="32" s="1"/>
  <c r="K22" i="31"/>
  <c r="L22" i="31" s="1"/>
  <c r="O22" i="31" s="1"/>
  <c r="K24" i="31"/>
  <c r="L24" i="31" s="1"/>
  <c r="O24" i="31" s="1"/>
  <c r="AM24" i="31" s="1"/>
  <c r="AQ24" i="31" s="1"/>
  <c r="Y21" i="32" s="1"/>
  <c r="AA21" i="32" s="1"/>
  <c r="K27" i="31"/>
  <c r="L27" i="31" s="1"/>
  <c r="O27" i="31" s="1"/>
  <c r="K37" i="31"/>
  <c r="L37" i="31" s="1"/>
  <c r="O37" i="31" s="1"/>
  <c r="K40" i="31"/>
  <c r="L40" i="31" s="1"/>
  <c r="O40" i="31" s="1"/>
  <c r="K43" i="31"/>
  <c r="L43" i="31" s="1"/>
  <c r="O43" i="31" s="1"/>
  <c r="K45" i="31"/>
  <c r="L45" i="31" s="1"/>
  <c r="O45" i="31" s="1"/>
  <c r="K48" i="31"/>
  <c r="L48" i="31" s="1"/>
  <c r="O48" i="31" s="1"/>
  <c r="AM48" i="31" s="1"/>
  <c r="AQ48" i="31" s="1"/>
  <c r="Y62" i="32" s="1"/>
  <c r="AA62" i="32" s="1"/>
  <c r="AM70" i="31"/>
  <c r="AQ70" i="31" s="1"/>
  <c r="AM76" i="31"/>
  <c r="AQ76" i="31" s="1"/>
  <c r="AM96" i="31"/>
  <c r="AQ96" i="31" s="1"/>
  <c r="AM128" i="31"/>
  <c r="AQ128" i="31" s="1"/>
  <c r="AM148" i="31"/>
  <c r="AQ148" i="31" s="1"/>
  <c r="AM154" i="31"/>
  <c r="AQ154" i="31" s="1"/>
  <c r="AM160" i="31"/>
  <c r="AQ160" i="31" s="1"/>
  <c r="K7" i="31"/>
  <c r="L7" i="31" s="1"/>
  <c r="O7" i="31" s="1"/>
  <c r="AM13" i="31"/>
  <c r="AQ13" i="31" s="1"/>
  <c r="Y85" i="32" s="1"/>
  <c r="AA85" i="32" s="1"/>
  <c r="AA89" i="32" s="1"/>
  <c r="AM19" i="31"/>
  <c r="AQ19" i="31" s="1"/>
  <c r="Y17" i="32" s="1"/>
  <c r="AA17" i="32" s="1"/>
  <c r="K36" i="31"/>
  <c r="L36" i="31" s="1"/>
  <c r="O36" i="31" s="1"/>
  <c r="AM37" i="31"/>
  <c r="AQ37" i="31" s="1"/>
  <c r="Y40" i="32" s="1"/>
  <c r="AA40" i="32" s="1"/>
  <c r="AM40" i="31"/>
  <c r="AQ40" i="31" s="1"/>
  <c r="Y50" i="32" s="1"/>
  <c r="AA50" i="32" s="1"/>
  <c r="K53" i="31"/>
  <c r="L53" i="31" s="1"/>
  <c r="O53" i="31" s="1"/>
  <c r="AM82" i="31"/>
  <c r="AQ82" i="31" s="1"/>
  <c r="AM97" i="31"/>
  <c r="AQ97" i="31" s="1"/>
  <c r="AM108" i="31"/>
  <c r="AQ108" i="31" s="1"/>
  <c r="AM116" i="31"/>
  <c r="AQ116" i="31" s="1"/>
  <c r="AM124" i="31"/>
  <c r="AQ124" i="31" s="1"/>
  <c r="AM130" i="31"/>
  <c r="AQ130" i="31" s="1"/>
  <c r="AM136" i="31"/>
  <c r="AQ136" i="31" s="1"/>
  <c r="AM156" i="31"/>
  <c r="AQ156" i="31" s="1"/>
  <c r="AM162" i="31"/>
  <c r="AQ162" i="31" s="1"/>
  <c r="AM168" i="31"/>
  <c r="AQ168" i="31" s="1"/>
  <c r="S73" i="32"/>
  <c r="S91" i="32" s="1"/>
  <c r="AA2" i="32"/>
  <c r="AM18" i="31"/>
  <c r="AQ18" i="31" s="1"/>
  <c r="Y16" i="32" s="1"/>
  <c r="AA16" i="32" s="1"/>
  <c r="AM9" i="31"/>
  <c r="AQ9" i="31" s="1"/>
  <c r="Y95" i="32" s="1"/>
  <c r="J56" i="31"/>
  <c r="AM8" i="31"/>
  <c r="AQ8" i="31" s="1"/>
  <c r="Y5" i="32" s="1"/>
  <c r="AA5" i="32" s="1"/>
  <c r="K11" i="31"/>
  <c r="L11" i="31" s="1"/>
  <c r="O11" i="31" s="1"/>
  <c r="AM11" i="31" s="1"/>
  <c r="AQ11" i="31" s="1"/>
  <c r="Y9" i="32" s="1"/>
  <c r="AA9" i="32" s="1"/>
  <c r="K20" i="31"/>
  <c r="L20" i="31" s="1"/>
  <c r="O20" i="31" s="1"/>
  <c r="AM20" i="31" s="1"/>
  <c r="AQ20" i="31" s="1"/>
  <c r="Y18" i="32" s="1"/>
  <c r="AA18" i="32" s="1"/>
  <c r="AM22" i="31"/>
  <c r="AQ22" i="31" s="1"/>
  <c r="Y19" i="32" s="1"/>
  <c r="AA19" i="32" s="1"/>
  <c r="AM23" i="31"/>
  <c r="AQ23" i="31" s="1"/>
  <c r="AM28" i="31"/>
  <c r="AQ28" i="31" s="1"/>
  <c r="Y30" i="32" s="1"/>
  <c r="AA30" i="32" s="1"/>
  <c r="AM33" i="31"/>
  <c r="AQ33" i="31" s="1"/>
  <c r="Y34" i="32" s="1"/>
  <c r="AA34" i="32" s="1"/>
  <c r="AM44" i="31"/>
  <c r="AQ44" i="31" s="1"/>
  <c r="Y55" i="32" s="1"/>
  <c r="AA55" i="32" s="1"/>
  <c r="AM50" i="31"/>
  <c r="AQ50" i="31" s="1"/>
  <c r="AM12" i="31"/>
  <c r="AQ12" i="31" s="1"/>
  <c r="Y10" i="32" s="1"/>
  <c r="AA10" i="32" s="1"/>
  <c r="AM21" i="31"/>
  <c r="AQ21" i="31" s="1"/>
  <c r="AM26" i="31"/>
  <c r="AQ26" i="31" s="1"/>
  <c r="Y27" i="32" s="1"/>
  <c r="AA27" i="32" s="1"/>
  <c r="AM27" i="31"/>
  <c r="AQ27" i="31" s="1"/>
  <c r="Y28" i="32" s="1"/>
  <c r="AA28" i="32" s="1"/>
  <c r="AM29" i="31"/>
  <c r="AQ29" i="31" s="1"/>
  <c r="Y31" i="32" s="1"/>
  <c r="AA31" i="32" s="1"/>
  <c r="AM30" i="31"/>
  <c r="AQ30" i="31" s="1"/>
  <c r="Y32" i="32" s="1"/>
  <c r="AA32" i="32" s="1"/>
  <c r="AM34" i="31"/>
  <c r="AQ34" i="31" s="1"/>
  <c r="AM14" i="31"/>
  <c r="AQ14" i="31" s="1"/>
  <c r="Y11" i="32" s="1"/>
  <c r="AA11" i="32" s="1"/>
  <c r="S56" i="31"/>
  <c r="AM15" i="31"/>
  <c r="AQ15" i="31" s="1"/>
  <c r="Y12" i="32" s="1"/>
  <c r="AA12" i="32" s="1"/>
  <c r="AM16" i="31"/>
  <c r="AQ16" i="31" s="1"/>
  <c r="Y13" i="32" s="1"/>
  <c r="AA13" i="32" s="1"/>
  <c r="AM25" i="31"/>
  <c r="AQ25" i="31" s="1"/>
  <c r="Y24" i="32" s="1"/>
  <c r="AA24" i="32" s="1"/>
  <c r="AM36" i="31"/>
  <c r="AQ36" i="31" s="1"/>
  <c r="Y42" i="32" s="1"/>
  <c r="AA42" i="32" s="1"/>
  <c r="AM42" i="31"/>
  <c r="AQ42" i="31" s="1"/>
  <c r="Y53" i="32" s="1"/>
  <c r="AA53" i="32" s="1"/>
  <c r="AM53" i="31"/>
  <c r="AQ53" i="31" s="1"/>
  <c r="Y70" i="32" s="1"/>
  <c r="AA70" i="32" s="1"/>
  <c r="J176" i="31"/>
  <c r="J177" i="31" s="1"/>
  <c r="L61" i="31"/>
  <c r="AM87" i="31"/>
  <c r="AQ87" i="31" s="1"/>
  <c r="AM93" i="31"/>
  <c r="AQ93" i="31" s="1"/>
  <c r="AM113" i="31"/>
  <c r="AQ113" i="31" s="1"/>
  <c r="W56" i="31"/>
  <c r="AM31" i="31"/>
  <c r="AQ31" i="31" s="1"/>
  <c r="AM41" i="31"/>
  <c r="AQ41" i="31" s="1"/>
  <c r="Y51" i="32" s="1"/>
  <c r="AA51" i="32" s="1"/>
  <c r="AM49" i="31"/>
  <c r="AQ49" i="31" s="1"/>
  <c r="Y66" i="32" s="1"/>
  <c r="AA66" i="32" s="1"/>
  <c r="AM51" i="31"/>
  <c r="AQ51" i="31" s="1"/>
  <c r="Y69" i="32" s="1"/>
  <c r="AA69" i="32" s="1"/>
  <c r="AM65" i="31"/>
  <c r="AQ65" i="31" s="1"/>
  <c r="AM72" i="31"/>
  <c r="AQ72" i="31" s="1"/>
  <c r="AM75" i="31"/>
  <c r="AQ75" i="31" s="1"/>
  <c r="AM81" i="31"/>
  <c r="AQ81" i="31" s="1"/>
  <c r="AM88" i="31"/>
  <c r="AQ88" i="31" s="1"/>
  <c r="AM91" i="31"/>
  <c r="AQ91" i="31" s="1"/>
  <c r="AM98" i="31"/>
  <c r="AQ98" i="31" s="1"/>
  <c r="AM109" i="31"/>
  <c r="AQ109" i="31" s="1"/>
  <c r="AM125" i="31"/>
  <c r="AQ125" i="31" s="1"/>
  <c r="AM141" i="31"/>
  <c r="AQ141" i="31" s="1"/>
  <c r="AM157" i="31"/>
  <c r="AQ157" i="31" s="1"/>
  <c r="AM173" i="31"/>
  <c r="AQ173" i="31" s="1"/>
  <c r="AM43" i="31"/>
  <c r="AQ43" i="31" s="1"/>
  <c r="Y54" i="32" s="1"/>
  <c r="AA54" i="32" s="1"/>
  <c r="W176" i="31"/>
  <c r="AM63" i="31"/>
  <c r="AQ63" i="31" s="1"/>
  <c r="AM69" i="31"/>
  <c r="AQ69" i="31" s="1"/>
  <c r="AM79" i="31"/>
  <c r="AQ79" i="31" s="1"/>
  <c r="AM85" i="31"/>
  <c r="AQ85" i="31" s="1"/>
  <c r="AM95" i="31"/>
  <c r="AQ95" i="31" s="1"/>
  <c r="AM105" i="31"/>
  <c r="AQ105" i="31" s="1"/>
  <c r="AM121" i="31"/>
  <c r="AQ121" i="31" s="1"/>
  <c r="AM35" i="31"/>
  <c r="AQ35" i="31" s="1"/>
  <c r="Y37" i="32" s="1"/>
  <c r="AA37" i="32" s="1"/>
  <c r="AM39" i="31"/>
  <c r="AQ39" i="31" s="1"/>
  <c r="Y48" i="32" s="1"/>
  <c r="AA48" i="32" s="1"/>
  <c r="AM47" i="31"/>
  <c r="AQ47" i="31" s="1"/>
  <c r="Y26" i="32" s="1"/>
  <c r="AA26" i="32" s="1"/>
  <c r="AM52" i="31"/>
  <c r="AQ52" i="31" s="1"/>
  <c r="AM71" i="31"/>
  <c r="AQ71" i="31" s="1"/>
  <c r="AM77" i="31"/>
  <c r="AQ77" i="31" s="1"/>
  <c r="AG56" i="31"/>
  <c r="F56" i="31"/>
  <c r="F177" i="31" s="1"/>
  <c r="AK56" i="31"/>
  <c r="K32" i="31"/>
  <c r="L32" i="31" s="1"/>
  <c r="O32" i="31" s="1"/>
  <c r="AM32" i="31" s="1"/>
  <c r="AQ32" i="31" s="1"/>
  <c r="Y33" i="32" s="1"/>
  <c r="AA33" i="32" s="1"/>
  <c r="AM45" i="31"/>
  <c r="AQ45" i="31" s="1"/>
  <c r="Y58" i="32" s="1"/>
  <c r="AA58" i="32" s="1"/>
  <c r="AM64" i="31"/>
  <c r="AQ64" i="31" s="1"/>
  <c r="AM67" i="31"/>
  <c r="AQ67" i="31" s="1"/>
  <c r="AM73" i="31"/>
  <c r="AQ73" i="31" s="1"/>
  <c r="AM80" i="31"/>
  <c r="AQ80" i="31" s="1"/>
  <c r="AM83" i="31"/>
  <c r="AQ83" i="31" s="1"/>
  <c r="AM89" i="31"/>
  <c r="AQ89" i="31" s="1"/>
  <c r="AM99" i="31"/>
  <c r="AQ99" i="31" s="1"/>
  <c r="AM117" i="31"/>
  <c r="AQ117" i="31" s="1"/>
  <c r="AM131" i="31"/>
  <c r="AQ131" i="31" s="1"/>
  <c r="AM147" i="31"/>
  <c r="AQ147" i="31" s="1"/>
  <c r="AM163" i="31"/>
  <c r="AQ163" i="31" s="1"/>
  <c r="AG176" i="31"/>
  <c r="AG177" i="31" s="1"/>
  <c r="AM126" i="31"/>
  <c r="AQ126" i="31" s="1"/>
  <c r="AM129" i="31"/>
  <c r="AQ129" i="31" s="1"/>
  <c r="AM135" i="31"/>
  <c r="AQ135" i="31" s="1"/>
  <c r="AM142" i="31"/>
  <c r="AQ142" i="31" s="1"/>
  <c r="AM145" i="31"/>
  <c r="AQ145" i="31" s="1"/>
  <c r="AM151" i="31"/>
  <c r="AQ151" i="31" s="1"/>
  <c r="AM158" i="31"/>
  <c r="AQ158" i="31" s="1"/>
  <c r="AM161" i="31"/>
  <c r="AQ161" i="31" s="1"/>
  <c r="AM167" i="31"/>
  <c r="AQ167" i="31" s="1"/>
  <c r="AM174" i="31"/>
  <c r="AQ174" i="31" s="1"/>
  <c r="AK176" i="31"/>
  <c r="AM102" i="31"/>
  <c r="AQ102" i="31" s="1"/>
  <c r="AM106" i="31"/>
  <c r="AQ106" i="31" s="1"/>
  <c r="AM110" i="31"/>
  <c r="AQ110" i="31" s="1"/>
  <c r="AM114" i="31"/>
  <c r="AQ114" i="31" s="1"/>
  <c r="AM118" i="31"/>
  <c r="AQ118" i="31" s="1"/>
  <c r="AM122" i="31"/>
  <c r="AQ122" i="31" s="1"/>
  <c r="AM133" i="31"/>
  <c r="AQ133" i="31" s="1"/>
  <c r="AM139" i="31"/>
  <c r="AQ139" i="31" s="1"/>
  <c r="AM149" i="31"/>
  <c r="AQ149" i="31" s="1"/>
  <c r="AM155" i="31"/>
  <c r="AQ155" i="31" s="1"/>
  <c r="AM165" i="31"/>
  <c r="AQ165" i="31" s="1"/>
  <c r="AM171" i="31"/>
  <c r="AQ171" i="31" s="1"/>
  <c r="S176" i="31"/>
  <c r="AM103" i="31"/>
  <c r="AQ103" i="31" s="1"/>
  <c r="AM107" i="31"/>
  <c r="AQ107" i="31" s="1"/>
  <c r="AM111" i="31"/>
  <c r="AQ111" i="31" s="1"/>
  <c r="AM115" i="31"/>
  <c r="AQ115" i="31" s="1"/>
  <c r="AM119" i="31"/>
  <c r="AQ119" i="31" s="1"/>
  <c r="AM123" i="31"/>
  <c r="AQ123" i="31" s="1"/>
  <c r="AM127" i="31"/>
  <c r="AQ127" i="31" s="1"/>
  <c r="AM134" i="31"/>
  <c r="AQ134" i="31" s="1"/>
  <c r="AM137" i="31"/>
  <c r="AQ137" i="31" s="1"/>
  <c r="AM143" i="31"/>
  <c r="AQ143" i="31" s="1"/>
  <c r="AM150" i="31"/>
  <c r="AQ150" i="31" s="1"/>
  <c r="AM153" i="31"/>
  <c r="AQ153" i="31" s="1"/>
  <c r="AM159" i="31"/>
  <c r="AQ159" i="31" s="1"/>
  <c r="AM166" i="31"/>
  <c r="AQ166" i="31" s="1"/>
  <c r="AM169" i="31"/>
  <c r="AQ169" i="31" s="1"/>
  <c r="Y98" i="32" l="1"/>
  <c r="AA98" i="32" s="1"/>
  <c r="Y99" i="32"/>
  <c r="AA99" i="32" s="1"/>
  <c r="Y96" i="32"/>
  <c r="AA96" i="32" s="1"/>
  <c r="Y101" i="32"/>
  <c r="AA101" i="32" s="1"/>
  <c r="Y100" i="32"/>
  <c r="AA100" i="32" s="1"/>
  <c r="Y97" i="32"/>
  <c r="AA97" i="32" s="1"/>
  <c r="B181" i="31"/>
  <c r="S177" i="31"/>
  <c r="B183" i="31"/>
  <c r="AK177" i="31"/>
  <c r="B182" i="31"/>
  <c r="W177" i="31"/>
  <c r="B189" i="31"/>
  <c r="B192" i="31" s="1"/>
  <c r="H30" i="39"/>
  <c r="AA95" i="32"/>
  <c r="Y89" i="32"/>
  <c r="O56" i="31"/>
  <c r="L56" i="31"/>
  <c r="L176" i="31"/>
  <c r="L177" i="31" s="1"/>
  <c r="O61" i="31"/>
  <c r="B191" i="31" s="1"/>
  <c r="AM7" i="31"/>
  <c r="AA104" i="32" l="1"/>
  <c r="Y104" i="32"/>
  <c r="O176" i="31"/>
  <c r="AM61" i="31"/>
  <c r="AM56" i="31"/>
  <c r="AQ7" i="31"/>
  <c r="B180" i="31" l="1"/>
  <c r="B184" i="31" s="1"/>
  <c r="B186" i="31" s="1"/>
  <c r="O177" i="31"/>
  <c r="AQ56" i="31"/>
  <c r="Y3" i="32"/>
  <c r="AM176" i="31"/>
  <c r="AM177" i="31" s="1"/>
  <c r="AQ61" i="31"/>
  <c r="AQ176" i="31" s="1"/>
  <c r="AQ177" i="31" l="1"/>
  <c r="Y107" i="32"/>
  <c r="AA3" i="32"/>
  <c r="AA73" i="32" s="1"/>
  <c r="AA91" i="32" s="1"/>
  <c r="Y73" i="32"/>
  <c r="Y91" i="32" s="1"/>
  <c r="Y120" i="32" l="1"/>
  <c r="Y106" i="32"/>
  <c r="Y119" i="32" s="1"/>
  <c r="AA120" i="32"/>
  <c r="S135" i="32" s="1"/>
  <c r="Y124" i="32"/>
  <c r="F118" i="29"/>
  <c r="A106" i="29"/>
  <c r="I95" i="29"/>
  <c r="C95" i="29"/>
  <c r="E95" i="29"/>
  <c r="L95" i="29"/>
  <c r="H95" i="29"/>
  <c r="C79" i="29"/>
  <c r="C97" i="29" s="1"/>
  <c r="L79" i="29"/>
  <c r="H79" i="29"/>
  <c r="E79" i="29"/>
  <c r="E97" i="29" s="1"/>
  <c r="S125" i="32" l="1"/>
  <c r="S130" i="32" s="1"/>
  <c r="G14" i="29"/>
  <c r="M14" i="29" s="1"/>
  <c r="G63" i="29"/>
  <c r="M63" i="29" s="1"/>
  <c r="G50" i="29"/>
  <c r="M50" i="29" s="1"/>
  <c r="G46" i="29"/>
  <c r="M46" i="29" s="1"/>
  <c r="G42" i="29"/>
  <c r="M42" i="29" s="1"/>
  <c r="G76" i="29"/>
  <c r="M76" i="29" s="1"/>
  <c r="G69" i="29"/>
  <c r="M69" i="29" s="1"/>
  <c r="G62" i="29"/>
  <c r="M62" i="29" s="1"/>
  <c r="G53" i="29"/>
  <c r="M53" i="29" s="1"/>
  <c r="G52" i="29"/>
  <c r="M52" i="29" s="1"/>
  <c r="G44" i="29"/>
  <c r="M44" i="29" s="1"/>
  <c r="G38" i="29"/>
  <c r="M38" i="29" s="1"/>
  <c r="G34" i="29"/>
  <c r="M34" i="29" s="1"/>
  <c r="G30" i="29"/>
  <c r="M30" i="29" s="1"/>
  <c r="G26" i="29"/>
  <c r="M26" i="29" s="1"/>
  <c r="G22" i="29"/>
  <c r="M22" i="29" s="1"/>
  <c r="G18" i="29"/>
  <c r="M18" i="29" s="1"/>
  <c r="G10" i="29"/>
  <c r="M10" i="29" s="1"/>
  <c r="G73" i="29"/>
  <c r="M73" i="29" s="1"/>
  <c r="G65" i="29"/>
  <c r="M65" i="29" s="1"/>
  <c r="G57" i="29"/>
  <c r="M57" i="29" s="1"/>
  <c r="G36" i="29"/>
  <c r="M36" i="29" s="1"/>
  <c r="G32" i="29"/>
  <c r="M32" i="29" s="1"/>
  <c r="G28" i="29"/>
  <c r="M28" i="29" s="1"/>
  <c r="G24" i="29"/>
  <c r="M24" i="29" s="1"/>
  <c r="G20" i="29"/>
  <c r="M20" i="29" s="1"/>
  <c r="G16" i="29"/>
  <c r="M16" i="29" s="1"/>
  <c r="G12" i="29"/>
  <c r="M12" i="29" s="1"/>
  <c r="G8" i="29"/>
  <c r="M8" i="29" s="1"/>
  <c r="G1" i="29"/>
  <c r="G40" i="29"/>
  <c r="M40" i="29" s="1"/>
  <c r="G43" i="29"/>
  <c r="M43" i="29" s="1"/>
  <c r="G47" i="29"/>
  <c r="M47" i="29" s="1"/>
  <c r="G48" i="29"/>
  <c r="M48" i="29" s="1"/>
  <c r="G51" i="29"/>
  <c r="M51" i="29" s="1"/>
  <c r="G60" i="29"/>
  <c r="M60" i="29" s="1"/>
  <c r="G61" i="29"/>
  <c r="M61" i="29" s="1"/>
  <c r="G68" i="29"/>
  <c r="M68" i="29" s="1"/>
  <c r="G77" i="29"/>
  <c r="M77" i="29" s="1"/>
  <c r="I97" i="29"/>
  <c r="I104" i="29"/>
  <c r="I100" i="29"/>
  <c r="I105" i="29"/>
  <c r="I102" i="29"/>
  <c r="I103" i="29"/>
  <c r="D79" i="29"/>
  <c r="G7" i="29"/>
  <c r="G9" i="29"/>
  <c r="M9" i="29" s="1"/>
  <c r="G37" i="29"/>
  <c r="M37" i="29" s="1"/>
  <c r="G54" i="29"/>
  <c r="M54" i="29" s="1"/>
  <c r="G56" i="29"/>
  <c r="M56" i="29" s="1"/>
  <c r="G58" i="29"/>
  <c r="M58" i="29" s="1"/>
  <c r="G64" i="29"/>
  <c r="M64" i="29" s="1"/>
  <c r="G70" i="29"/>
  <c r="M70" i="29" s="1"/>
  <c r="G72" i="29"/>
  <c r="M72" i="29" s="1"/>
  <c r="G78" i="29"/>
  <c r="M78" i="29" s="1"/>
  <c r="H97" i="29"/>
  <c r="L97" i="29"/>
  <c r="J95" i="29"/>
  <c r="I101" i="29"/>
  <c r="G92" i="29"/>
  <c r="M92" i="29" s="1"/>
  <c r="G88" i="29"/>
  <c r="M88" i="29" s="1"/>
  <c r="G90" i="29"/>
  <c r="M90" i="29" s="1"/>
  <c r="G89" i="29"/>
  <c r="M89" i="29" s="1"/>
  <c r="G82" i="29"/>
  <c r="M82" i="29" s="1"/>
  <c r="G85" i="29"/>
  <c r="M85" i="29" s="1"/>
  <c r="G13" i="29"/>
  <c r="M13" i="29" s="1"/>
  <c r="G29" i="29"/>
  <c r="M29" i="29" s="1"/>
  <c r="G31" i="29"/>
  <c r="M31" i="29" s="1"/>
  <c r="J103" i="29"/>
  <c r="J102" i="29"/>
  <c r="J101" i="29"/>
  <c r="J100" i="29"/>
  <c r="J104" i="29"/>
  <c r="G2" i="29"/>
  <c r="J79" i="29"/>
  <c r="K102" i="29"/>
  <c r="K100" i="29"/>
  <c r="K104" i="29"/>
  <c r="K101" i="29"/>
  <c r="K105" i="29"/>
  <c r="K103" i="29"/>
  <c r="K79" i="29"/>
  <c r="G11" i="29"/>
  <c r="M11" i="29" s="1"/>
  <c r="G15" i="29"/>
  <c r="M15" i="29" s="1"/>
  <c r="G17" i="29"/>
  <c r="M17" i="29" s="1"/>
  <c r="G19" i="29"/>
  <c r="M19" i="29" s="1"/>
  <c r="G21" i="29"/>
  <c r="M21" i="29" s="1"/>
  <c r="G23" i="29"/>
  <c r="M23" i="29" s="1"/>
  <c r="G25" i="29"/>
  <c r="M25" i="29" s="1"/>
  <c r="G27" i="29"/>
  <c r="M27" i="29" s="1"/>
  <c r="G33" i="29"/>
  <c r="M33" i="29" s="1"/>
  <c r="G35" i="29"/>
  <c r="M35" i="29" s="1"/>
  <c r="G39" i="29"/>
  <c r="M39" i="29" s="1"/>
  <c r="G41" i="29"/>
  <c r="M41" i="29" s="1"/>
  <c r="G84" i="29"/>
  <c r="M84" i="29" s="1"/>
  <c r="D95" i="29"/>
  <c r="J105" i="29"/>
  <c r="G93" i="29"/>
  <c r="M93" i="29" s="1"/>
  <c r="L100" i="29"/>
  <c r="L104" i="29"/>
  <c r="L102" i="29"/>
  <c r="L105" i="29"/>
  <c r="L101" i="29"/>
  <c r="L103" i="29"/>
  <c r="G49" i="29"/>
  <c r="M49" i="29" s="1"/>
  <c r="G59" i="29"/>
  <c r="M59" i="29" s="1"/>
  <c r="G67" i="29"/>
  <c r="M67" i="29" s="1"/>
  <c r="G75" i="29"/>
  <c r="M75" i="29" s="1"/>
  <c r="I79" i="29"/>
  <c r="G45" i="29"/>
  <c r="M45" i="29" s="1"/>
  <c r="G55" i="29"/>
  <c r="M55" i="29" s="1"/>
  <c r="G71" i="29"/>
  <c r="M71" i="29" s="1"/>
  <c r="K95" i="29"/>
  <c r="G86" i="29"/>
  <c r="M86" i="29" s="1"/>
  <c r="G83" i="29"/>
  <c r="M83" i="29" s="1"/>
  <c r="G91" i="29"/>
  <c r="M91" i="29" s="1"/>
  <c r="G66" i="29"/>
  <c r="M66" i="29" s="1"/>
  <c r="G74" i="29"/>
  <c r="M74" i="29" s="1"/>
  <c r="G87" i="29"/>
  <c r="M87" i="29" s="1"/>
  <c r="P35" i="29" l="1"/>
  <c r="Q35" i="29"/>
  <c r="O35" i="29"/>
  <c r="P19" i="29"/>
  <c r="O19" i="29"/>
  <c r="Q19" i="29"/>
  <c r="P11" i="29"/>
  <c r="Q11" i="29"/>
  <c r="O11" i="29"/>
  <c r="O92" i="29"/>
  <c r="Q92" i="29"/>
  <c r="P92" i="29"/>
  <c r="Q40" i="29"/>
  <c r="P40" i="29"/>
  <c r="O40" i="29"/>
  <c r="P33" i="29"/>
  <c r="Q33" i="29"/>
  <c r="O33" i="29"/>
  <c r="P25" i="29"/>
  <c r="Q25" i="29"/>
  <c r="O25" i="29"/>
  <c r="P17" i="29"/>
  <c r="Q17" i="29"/>
  <c r="O17" i="29"/>
  <c r="O10" i="29"/>
  <c r="Q10" i="29"/>
  <c r="P10" i="29"/>
  <c r="Q44" i="29"/>
  <c r="P44" i="29"/>
  <c r="O44" i="29"/>
  <c r="Q69" i="29"/>
  <c r="P69" i="29"/>
  <c r="O69" i="29"/>
  <c r="P27" i="29"/>
  <c r="Q27" i="29"/>
  <c r="O27" i="29"/>
  <c r="Q39" i="29"/>
  <c r="P39" i="29"/>
  <c r="O39" i="29"/>
  <c r="P23" i="29"/>
  <c r="Q23" i="29"/>
  <c r="O23" i="29"/>
  <c r="P15" i="29"/>
  <c r="O15" i="29"/>
  <c r="Q15" i="29"/>
  <c r="Q8" i="29"/>
  <c r="O8" i="29"/>
  <c r="P8" i="29"/>
  <c r="P21" i="29"/>
  <c r="O21" i="29"/>
  <c r="Q21" i="29"/>
  <c r="P58" i="29"/>
  <c r="O58" i="29"/>
  <c r="Q58" i="29"/>
  <c r="Q12" i="29"/>
  <c r="O12" i="29"/>
  <c r="P12" i="29"/>
  <c r="Q52" i="29"/>
  <c r="P52" i="29"/>
  <c r="O52" i="29"/>
  <c r="Q53" i="29"/>
  <c r="P53" i="29"/>
  <c r="O53" i="29"/>
  <c r="P62" i="29"/>
  <c r="Q62" i="29"/>
  <c r="O62" i="29"/>
  <c r="Q76" i="29"/>
  <c r="P76" i="29"/>
  <c r="O76" i="29"/>
  <c r="O63" i="29"/>
  <c r="Q63" i="29"/>
  <c r="P63" i="29"/>
  <c r="P87" i="29"/>
  <c r="Q87" i="29"/>
  <c r="O87" i="29"/>
  <c r="P45" i="29"/>
  <c r="O45" i="29"/>
  <c r="Q45" i="29"/>
  <c r="Q93" i="29"/>
  <c r="P93" i="29"/>
  <c r="O93" i="29"/>
  <c r="P31" i="29"/>
  <c r="O31" i="29"/>
  <c r="Q31" i="29"/>
  <c r="F95" i="29"/>
  <c r="G81" i="29"/>
  <c r="H98" i="29"/>
  <c r="H99" i="29" s="1"/>
  <c r="H120" i="29" s="1"/>
  <c r="P37" i="29"/>
  <c r="Q37" i="29"/>
  <c r="O37" i="29"/>
  <c r="I98" i="29"/>
  <c r="I99" i="29" s="1"/>
  <c r="I120" i="29" s="1"/>
  <c r="Q43" i="29"/>
  <c r="P43" i="29"/>
  <c r="O43" i="29"/>
  <c r="O18" i="29"/>
  <c r="Q18" i="29"/>
  <c r="P18" i="29"/>
  <c r="P74" i="29"/>
  <c r="O74" i="29"/>
  <c r="Q74" i="29"/>
  <c r="P83" i="29"/>
  <c r="Q83" i="29"/>
  <c r="O83" i="29"/>
  <c r="P49" i="29"/>
  <c r="O49" i="29"/>
  <c r="Q49" i="29"/>
  <c r="P41" i="29"/>
  <c r="O41" i="29"/>
  <c r="Q41" i="29"/>
  <c r="P29" i="29"/>
  <c r="Q29" i="29"/>
  <c r="O29" i="29"/>
  <c r="Q82" i="29"/>
  <c r="O82" i="29"/>
  <c r="P82" i="29"/>
  <c r="Q78" i="29"/>
  <c r="P78" i="29"/>
  <c r="O78" i="29"/>
  <c r="O56" i="29"/>
  <c r="Q56" i="29"/>
  <c r="P56" i="29"/>
  <c r="G79" i="29"/>
  <c r="M7" i="29"/>
  <c r="Q77" i="29"/>
  <c r="P77" i="29"/>
  <c r="O77" i="29"/>
  <c r="Q61" i="29"/>
  <c r="P61" i="29"/>
  <c r="O61" i="29"/>
  <c r="Q48" i="29"/>
  <c r="P48" i="29"/>
  <c r="O48" i="29"/>
  <c r="Q16" i="29"/>
  <c r="O16" i="29"/>
  <c r="P16" i="29"/>
  <c r="Q32" i="29"/>
  <c r="O32" i="29"/>
  <c r="P32" i="29"/>
  <c r="Q73" i="29"/>
  <c r="P73" i="29"/>
  <c r="O73" i="29"/>
  <c r="O22" i="29"/>
  <c r="Q22" i="29"/>
  <c r="P22" i="29"/>
  <c r="O38" i="29"/>
  <c r="Q38" i="29"/>
  <c r="P38" i="29"/>
  <c r="O50" i="29"/>
  <c r="Q50" i="29"/>
  <c r="P50" i="29"/>
  <c r="P91" i="29"/>
  <c r="Q91" i="29"/>
  <c r="O91" i="29"/>
  <c r="O71" i="29"/>
  <c r="Q71" i="29"/>
  <c r="P71" i="29"/>
  <c r="O59" i="29"/>
  <c r="Q59" i="29"/>
  <c r="P59" i="29"/>
  <c r="O84" i="29"/>
  <c r="Q84" i="29"/>
  <c r="P84" i="29"/>
  <c r="Q85" i="29"/>
  <c r="P85" i="29"/>
  <c r="O85" i="29"/>
  <c r="Q90" i="29"/>
  <c r="O90" i="29"/>
  <c r="P90" i="29"/>
  <c r="P70" i="29"/>
  <c r="Q70" i="29"/>
  <c r="O70" i="29"/>
  <c r="P9" i="29"/>
  <c r="Q9" i="29"/>
  <c r="O9" i="29"/>
  <c r="Q68" i="29"/>
  <c r="P68" i="29"/>
  <c r="O68" i="29"/>
  <c r="Q51" i="29"/>
  <c r="P51" i="29"/>
  <c r="O51" i="29"/>
  <c r="Q28" i="29"/>
  <c r="O28" i="29"/>
  <c r="P28" i="29"/>
  <c r="Q65" i="29"/>
  <c r="P65" i="29"/>
  <c r="O65" i="29"/>
  <c r="O34" i="29"/>
  <c r="Q34" i="29"/>
  <c r="P34" i="29"/>
  <c r="O46" i="29"/>
  <c r="Q46" i="29"/>
  <c r="P46" i="29"/>
  <c r="O14" i="29"/>
  <c r="Q14" i="29"/>
  <c r="P14" i="29"/>
  <c r="P66" i="29"/>
  <c r="O66" i="29"/>
  <c r="Q66" i="29"/>
  <c r="Q86" i="29"/>
  <c r="P86" i="29"/>
  <c r="O86" i="29"/>
  <c r="O55" i="29"/>
  <c r="Q55" i="29"/>
  <c r="P55" i="29"/>
  <c r="O75" i="29"/>
  <c r="Q75" i="29"/>
  <c r="P75" i="29"/>
  <c r="P13" i="29"/>
  <c r="O13" i="29"/>
  <c r="Q13" i="29"/>
  <c r="J97" i="29"/>
  <c r="O64" i="29"/>
  <c r="Q64" i="29"/>
  <c r="P64" i="29"/>
  <c r="P54" i="29"/>
  <c r="Q54" i="29"/>
  <c r="O54" i="29"/>
  <c r="Q60" i="29"/>
  <c r="P60" i="29"/>
  <c r="O60" i="29"/>
  <c r="Q47" i="29"/>
  <c r="P47" i="29"/>
  <c r="O47" i="29"/>
  <c r="B115" i="29"/>
  <c r="G115" i="29" s="1"/>
  <c r="B108" i="29"/>
  <c r="G108" i="29" s="1"/>
  <c r="G104" i="29"/>
  <c r="G102" i="29"/>
  <c r="G100" i="29"/>
  <c r="Q20" i="29"/>
  <c r="O20" i="29"/>
  <c r="P20" i="29"/>
  <c r="Q36" i="29"/>
  <c r="O36" i="29"/>
  <c r="P36" i="29"/>
  <c r="O26" i="29"/>
  <c r="Q26" i="29"/>
  <c r="P26" i="29"/>
  <c r="K97" i="29"/>
  <c r="O67" i="29"/>
  <c r="Q67" i="29"/>
  <c r="P67" i="29"/>
  <c r="D97" i="29"/>
  <c r="F79" i="29"/>
  <c r="G105" i="29"/>
  <c r="G101" i="29"/>
  <c r="G103" i="29"/>
  <c r="B117" i="29"/>
  <c r="G117" i="29" s="1"/>
  <c r="B116" i="29"/>
  <c r="G116" i="29" s="1"/>
  <c r="B109" i="29"/>
  <c r="G109" i="29" s="1"/>
  <c r="B110" i="29"/>
  <c r="G110" i="29" s="1"/>
  <c r="P89" i="29"/>
  <c r="O89" i="29"/>
  <c r="Q89" i="29"/>
  <c r="O88" i="29"/>
  <c r="P88" i="29"/>
  <c r="Q88" i="29"/>
  <c r="L98" i="29"/>
  <c r="L99" i="29" s="1"/>
  <c r="L120" i="29" s="1"/>
  <c r="O72" i="29"/>
  <c r="Q72" i="29"/>
  <c r="P72" i="29"/>
  <c r="Q24" i="29"/>
  <c r="O24" i="29"/>
  <c r="P24" i="29"/>
  <c r="Q57" i="29"/>
  <c r="P57" i="29"/>
  <c r="O57" i="29"/>
  <c r="O30" i="29"/>
  <c r="Q30" i="29"/>
  <c r="P30" i="29"/>
  <c r="O42" i="29"/>
  <c r="Q42" i="29"/>
  <c r="P42" i="29"/>
  <c r="K98" i="29" l="1"/>
  <c r="K99" i="29" s="1"/>
  <c r="K120" i="29" s="1"/>
  <c r="G95" i="29"/>
  <c r="G97" i="29" s="1"/>
  <c r="M81" i="29"/>
  <c r="J98" i="29"/>
  <c r="J99" i="29" s="1"/>
  <c r="J120" i="29" s="1"/>
  <c r="M79" i="29"/>
  <c r="P7" i="29"/>
  <c r="P79" i="29" s="1"/>
  <c r="Q7" i="29"/>
  <c r="Q79" i="29" s="1"/>
  <c r="O7" i="29"/>
  <c r="O79" i="29" s="1"/>
  <c r="F97" i="29"/>
  <c r="M95" i="29" l="1"/>
  <c r="M97" i="29" s="1"/>
  <c r="P81" i="29"/>
  <c r="P95" i="29" s="1"/>
  <c r="P97" i="29" s="1"/>
  <c r="O81" i="29"/>
  <c r="O95" i="29" s="1"/>
  <c r="O97" i="29" s="1"/>
  <c r="Q81" i="29"/>
  <c r="Q95" i="29" s="1"/>
  <c r="Q97" i="29" s="1"/>
  <c r="G98" i="29"/>
  <c r="G99" i="29" s="1"/>
  <c r="M98" i="29" l="1"/>
  <c r="M99" i="29" s="1"/>
  <c r="S95" i="29"/>
  <c r="D21" i="34" l="1"/>
  <c r="D23" i="34"/>
  <c r="B11" i="34"/>
  <c r="D11" i="34" s="1"/>
  <c r="D13" i="34" l="1"/>
  <c r="D19" i="34" l="1"/>
  <c r="D25" i="34" s="1"/>
  <c r="S139" i="32" s="1"/>
  <c r="D27" i="34" l="1"/>
  <c r="S140" i="32" s="1"/>
  <c r="S141" i="32" s="1"/>
  <c r="D97" i="25" l="1"/>
  <c r="E95" i="25"/>
  <c r="E97" i="25" s="1"/>
  <c r="D95" i="25"/>
  <c r="N93" i="25"/>
  <c r="M93" i="25"/>
  <c r="J93" i="25"/>
  <c r="F93" i="25"/>
  <c r="N92" i="25"/>
  <c r="M92" i="25"/>
  <c r="J92" i="25"/>
  <c r="F92" i="25"/>
  <c r="M91" i="25"/>
  <c r="L91" i="25"/>
  <c r="K91" i="25"/>
  <c r="J91" i="25"/>
  <c r="N91" i="25" s="1"/>
  <c r="F91" i="25"/>
  <c r="C91" i="25"/>
  <c r="C95" i="25" s="1"/>
  <c r="J90" i="25"/>
  <c r="F90" i="25"/>
  <c r="J89" i="25"/>
  <c r="F89" i="25"/>
  <c r="L88" i="25"/>
  <c r="M88" i="25" s="1"/>
  <c r="K88" i="25"/>
  <c r="J88" i="25"/>
  <c r="N88" i="25" s="1"/>
  <c r="F88" i="25"/>
  <c r="L87" i="25"/>
  <c r="K87" i="25"/>
  <c r="J87" i="25"/>
  <c r="M87" i="25" s="1"/>
  <c r="F87" i="25"/>
  <c r="J86" i="25"/>
  <c r="F86" i="25"/>
  <c r="L85" i="25"/>
  <c r="M85" i="25" s="1"/>
  <c r="K85" i="25"/>
  <c r="J85" i="25"/>
  <c r="N85" i="25" s="1"/>
  <c r="F85" i="25"/>
  <c r="N84" i="25"/>
  <c r="M84" i="25"/>
  <c r="J84" i="25"/>
  <c r="F84" i="25"/>
  <c r="L83" i="25"/>
  <c r="K83" i="25"/>
  <c r="J83" i="25"/>
  <c r="M83" i="25" s="1"/>
  <c r="F83" i="25"/>
  <c r="L82" i="25"/>
  <c r="K82" i="25"/>
  <c r="K95" i="25" s="1"/>
  <c r="J82" i="25"/>
  <c r="N82" i="25" s="1"/>
  <c r="F82" i="25"/>
  <c r="N81" i="25"/>
  <c r="M81" i="25"/>
  <c r="J81" i="25"/>
  <c r="J95" i="25" s="1"/>
  <c r="F81" i="25"/>
  <c r="E79" i="25"/>
  <c r="D79" i="25"/>
  <c r="C79" i="25"/>
  <c r="L77" i="25"/>
  <c r="K77" i="25"/>
  <c r="J77" i="25"/>
  <c r="F77" i="25"/>
  <c r="M76" i="25"/>
  <c r="L76" i="25"/>
  <c r="K76" i="25"/>
  <c r="J76" i="25"/>
  <c r="N76" i="25" s="1"/>
  <c r="F76" i="25"/>
  <c r="L75" i="25"/>
  <c r="K75" i="25"/>
  <c r="J75" i="25"/>
  <c r="F75" i="25"/>
  <c r="M74" i="25"/>
  <c r="L74" i="25"/>
  <c r="K74" i="25"/>
  <c r="J74" i="25"/>
  <c r="N74" i="25" s="1"/>
  <c r="F74" i="25"/>
  <c r="L73" i="25"/>
  <c r="K73" i="25"/>
  <c r="J73" i="25"/>
  <c r="N73" i="25" s="1"/>
  <c r="F73" i="25"/>
  <c r="N72" i="25"/>
  <c r="M72" i="25"/>
  <c r="L72" i="25"/>
  <c r="K72" i="25"/>
  <c r="J72" i="25"/>
  <c r="F72" i="25"/>
  <c r="L71" i="25"/>
  <c r="K71" i="25"/>
  <c r="J71" i="25"/>
  <c r="F71" i="25"/>
  <c r="N70" i="25"/>
  <c r="M70" i="25"/>
  <c r="L70" i="25"/>
  <c r="K70" i="25"/>
  <c r="F70" i="25"/>
  <c r="N69" i="25"/>
  <c r="L69" i="25"/>
  <c r="K69" i="25"/>
  <c r="J69" i="25"/>
  <c r="M69" i="25" s="1"/>
  <c r="F69" i="25"/>
  <c r="L68" i="25"/>
  <c r="M68" i="25" s="1"/>
  <c r="K68" i="25"/>
  <c r="J68" i="25"/>
  <c r="N68" i="25" s="1"/>
  <c r="F68" i="25"/>
  <c r="N67" i="25"/>
  <c r="L67" i="25"/>
  <c r="K67" i="25"/>
  <c r="M67" i="25" s="1"/>
  <c r="F67" i="25"/>
  <c r="L66" i="25"/>
  <c r="K66" i="25"/>
  <c r="J66" i="25"/>
  <c r="N66" i="25" s="1"/>
  <c r="F66" i="25"/>
  <c r="M65" i="25"/>
  <c r="L65" i="25"/>
  <c r="K65" i="25"/>
  <c r="J65" i="25"/>
  <c r="N65" i="25" s="1"/>
  <c r="F65" i="25"/>
  <c r="L64" i="25"/>
  <c r="K64" i="25"/>
  <c r="J64" i="25"/>
  <c r="N64" i="25" s="1"/>
  <c r="F64" i="25"/>
  <c r="M63" i="25"/>
  <c r="L63" i="25"/>
  <c r="K63" i="25"/>
  <c r="J63" i="25"/>
  <c r="N63" i="25" s="1"/>
  <c r="F63" i="25"/>
  <c r="L62" i="25"/>
  <c r="K62" i="25"/>
  <c r="J62" i="25"/>
  <c r="F62" i="25"/>
  <c r="M61" i="25"/>
  <c r="L61" i="25"/>
  <c r="K61" i="25"/>
  <c r="J61" i="25"/>
  <c r="N61" i="25" s="1"/>
  <c r="F61" i="25"/>
  <c r="L60" i="25"/>
  <c r="K60" i="25"/>
  <c r="J60" i="25"/>
  <c r="F60" i="25"/>
  <c r="M59" i="25"/>
  <c r="L59" i="25"/>
  <c r="K59" i="25"/>
  <c r="J59" i="25"/>
  <c r="N59" i="25" s="1"/>
  <c r="F59" i="25"/>
  <c r="L58" i="25"/>
  <c r="K58" i="25"/>
  <c r="J58" i="25"/>
  <c r="N58" i="25" s="1"/>
  <c r="F58" i="25"/>
  <c r="M57" i="25"/>
  <c r="L57" i="25"/>
  <c r="K57" i="25"/>
  <c r="J57" i="25"/>
  <c r="N57" i="25" s="1"/>
  <c r="F57" i="25"/>
  <c r="L56" i="25"/>
  <c r="K56" i="25"/>
  <c r="J56" i="25"/>
  <c r="N56" i="25" s="1"/>
  <c r="F56" i="25"/>
  <c r="M55" i="25"/>
  <c r="L55" i="25"/>
  <c r="K55" i="25"/>
  <c r="J55" i="25"/>
  <c r="N55" i="25" s="1"/>
  <c r="F55" i="25"/>
  <c r="L54" i="25"/>
  <c r="K54" i="25"/>
  <c r="J54" i="25"/>
  <c r="F54" i="25"/>
  <c r="M53" i="25"/>
  <c r="L53" i="25"/>
  <c r="K53" i="25"/>
  <c r="J53" i="25"/>
  <c r="N53" i="25" s="1"/>
  <c r="F53" i="25"/>
  <c r="L52" i="25"/>
  <c r="K52" i="25"/>
  <c r="J52" i="25"/>
  <c r="F52" i="25"/>
  <c r="M51" i="25"/>
  <c r="L51" i="25"/>
  <c r="K51" i="25"/>
  <c r="J51" i="25"/>
  <c r="N51" i="25" s="1"/>
  <c r="F51" i="25"/>
  <c r="L50" i="25"/>
  <c r="K50" i="25"/>
  <c r="J50" i="25"/>
  <c r="N50" i="25" s="1"/>
  <c r="F50" i="25"/>
  <c r="M49" i="25"/>
  <c r="L49" i="25"/>
  <c r="K49" i="25"/>
  <c r="J49" i="25"/>
  <c r="N49" i="25" s="1"/>
  <c r="F49" i="25"/>
  <c r="L48" i="25"/>
  <c r="K48" i="25"/>
  <c r="J48" i="25"/>
  <c r="N48" i="25" s="1"/>
  <c r="F48" i="25"/>
  <c r="M47" i="25"/>
  <c r="L47" i="25"/>
  <c r="K47" i="25"/>
  <c r="J47" i="25"/>
  <c r="N47" i="25" s="1"/>
  <c r="F47" i="25"/>
  <c r="L46" i="25"/>
  <c r="K46" i="25"/>
  <c r="J46" i="25"/>
  <c r="F46" i="25"/>
  <c r="N45" i="25"/>
  <c r="M45" i="25"/>
  <c r="L45" i="25"/>
  <c r="K45" i="25"/>
  <c r="F45" i="25"/>
  <c r="N44" i="25"/>
  <c r="L44" i="25"/>
  <c r="K44" i="25"/>
  <c r="J44" i="25"/>
  <c r="M44" i="25" s="1"/>
  <c r="F44" i="25"/>
  <c r="L43" i="25"/>
  <c r="M43" i="25" s="1"/>
  <c r="K43" i="25"/>
  <c r="J43" i="25"/>
  <c r="N43" i="25" s="1"/>
  <c r="F43" i="25"/>
  <c r="L42" i="25"/>
  <c r="K42" i="25"/>
  <c r="J42" i="25"/>
  <c r="M42" i="25" s="1"/>
  <c r="F42" i="25"/>
  <c r="L41" i="25"/>
  <c r="M41" i="25" s="1"/>
  <c r="K41" i="25"/>
  <c r="J41" i="25"/>
  <c r="N41" i="25" s="1"/>
  <c r="F41" i="25"/>
  <c r="L40" i="25"/>
  <c r="K40" i="25"/>
  <c r="J40" i="25"/>
  <c r="M40" i="25" s="1"/>
  <c r="F40" i="25"/>
  <c r="L39" i="25"/>
  <c r="M39" i="25" s="1"/>
  <c r="K39" i="25"/>
  <c r="J39" i="25"/>
  <c r="F39" i="25"/>
  <c r="N38" i="25"/>
  <c r="L38" i="25"/>
  <c r="K38" i="25"/>
  <c r="J38" i="25"/>
  <c r="M38" i="25" s="1"/>
  <c r="F38" i="25"/>
  <c r="L37" i="25"/>
  <c r="M37" i="25" s="1"/>
  <c r="K37" i="25"/>
  <c r="J37" i="25"/>
  <c r="F37" i="25"/>
  <c r="N36" i="25"/>
  <c r="L36" i="25"/>
  <c r="K36" i="25"/>
  <c r="M36" i="25" s="1"/>
  <c r="F36" i="25"/>
  <c r="L35" i="25"/>
  <c r="K35" i="25"/>
  <c r="J35" i="25"/>
  <c r="F35" i="25"/>
  <c r="M34" i="25"/>
  <c r="L34" i="25"/>
  <c r="K34" i="25"/>
  <c r="J34" i="25"/>
  <c r="N34" i="25" s="1"/>
  <c r="F34" i="25"/>
  <c r="L33" i="25"/>
  <c r="K33" i="25"/>
  <c r="J33" i="25"/>
  <c r="N33" i="25" s="1"/>
  <c r="F33" i="25"/>
  <c r="M32" i="25"/>
  <c r="L32" i="25"/>
  <c r="K32" i="25"/>
  <c r="J32" i="25"/>
  <c r="N32" i="25" s="1"/>
  <c r="F32" i="25"/>
  <c r="L31" i="25"/>
  <c r="K31" i="25"/>
  <c r="J31" i="25"/>
  <c r="N31" i="25" s="1"/>
  <c r="F31" i="25"/>
  <c r="M30" i="25"/>
  <c r="L30" i="25"/>
  <c r="K30" i="25"/>
  <c r="J30" i="25"/>
  <c r="N30" i="25" s="1"/>
  <c r="F30" i="25"/>
  <c r="L29" i="25"/>
  <c r="K29" i="25"/>
  <c r="J29" i="25"/>
  <c r="F29" i="25"/>
  <c r="M28" i="25"/>
  <c r="L28" i="25"/>
  <c r="K28" i="25"/>
  <c r="J28" i="25"/>
  <c r="N28" i="25" s="1"/>
  <c r="F28" i="25"/>
  <c r="L27" i="25"/>
  <c r="K27" i="25"/>
  <c r="J27" i="25"/>
  <c r="F27" i="25"/>
  <c r="M26" i="25"/>
  <c r="L26" i="25"/>
  <c r="K26" i="25"/>
  <c r="J26" i="25"/>
  <c r="N26" i="25" s="1"/>
  <c r="F26" i="25"/>
  <c r="L25" i="25"/>
  <c r="K25" i="25"/>
  <c r="J25" i="25"/>
  <c r="N25" i="25" s="1"/>
  <c r="F25" i="25"/>
  <c r="M24" i="25"/>
  <c r="L24" i="25"/>
  <c r="K24" i="25"/>
  <c r="J24" i="25"/>
  <c r="N24" i="25" s="1"/>
  <c r="F24" i="25"/>
  <c r="L23" i="25"/>
  <c r="K23" i="25"/>
  <c r="J23" i="25"/>
  <c r="N23" i="25" s="1"/>
  <c r="F23" i="25"/>
  <c r="M22" i="25"/>
  <c r="L22" i="25"/>
  <c r="K22" i="25"/>
  <c r="J22" i="25"/>
  <c r="N22" i="25" s="1"/>
  <c r="F22" i="25"/>
  <c r="L21" i="25"/>
  <c r="K21" i="25"/>
  <c r="J21" i="25"/>
  <c r="F21" i="25"/>
  <c r="M20" i="25"/>
  <c r="L20" i="25"/>
  <c r="K20" i="25"/>
  <c r="J20" i="25"/>
  <c r="N20" i="25" s="1"/>
  <c r="F20" i="25"/>
  <c r="L19" i="25"/>
  <c r="K19" i="25"/>
  <c r="J19" i="25"/>
  <c r="F19" i="25"/>
  <c r="L18" i="25"/>
  <c r="N18" i="25" s="1"/>
  <c r="K18" i="25"/>
  <c r="F18" i="25"/>
  <c r="M17" i="25"/>
  <c r="L17" i="25"/>
  <c r="K17" i="25"/>
  <c r="J17" i="25"/>
  <c r="N17" i="25" s="1"/>
  <c r="F17" i="25"/>
  <c r="L16" i="25"/>
  <c r="K16" i="25"/>
  <c r="J16" i="25"/>
  <c r="F16" i="25"/>
  <c r="M15" i="25"/>
  <c r="L15" i="25"/>
  <c r="K15" i="25"/>
  <c r="J15" i="25"/>
  <c r="N15" i="25" s="1"/>
  <c r="F15" i="25"/>
  <c r="L14" i="25"/>
  <c r="K14" i="25"/>
  <c r="J14" i="25"/>
  <c r="N14" i="25" s="1"/>
  <c r="F14" i="25"/>
  <c r="M13" i="25"/>
  <c r="L13" i="25"/>
  <c r="K13" i="25"/>
  <c r="J13" i="25"/>
  <c r="N13" i="25" s="1"/>
  <c r="F13" i="25"/>
  <c r="L12" i="25"/>
  <c r="K12" i="25"/>
  <c r="J12" i="25"/>
  <c r="N12" i="25" s="1"/>
  <c r="F12" i="25"/>
  <c r="M11" i="25"/>
  <c r="L11" i="25"/>
  <c r="K11" i="25"/>
  <c r="J11" i="25"/>
  <c r="N11" i="25" s="1"/>
  <c r="F11" i="25"/>
  <c r="L10" i="25"/>
  <c r="K10" i="25"/>
  <c r="J10" i="25"/>
  <c r="F10" i="25"/>
  <c r="M9" i="25"/>
  <c r="L9" i="25"/>
  <c r="K9" i="25"/>
  <c r="J9" i="25"/>
  <c r="N9" i="25" s="1"/>
  <c r="F9" i="25"/>
  <c r="L8" i="25"/>
  <c r="K8" i="25"/>
  <c r="J8" i="25"/>
  <c r="F8" i="25"/>
  <c r="M7" i="25"/>
  <c r="L7" i="25"/>
  <c r="K7" i="25"/>
  <c r="J7" i="25"/>
  <c r="N7" i="25" s="1"/>
  <c r="F7" i="25"/>
  <c r="F79" i="25" s="1"/>
  <c r="N4" i="25"/>
  <c r="N3" i="25"/>
  <c r="N2" i="25"/>
  <c r="C81" i="9"/>
  <c r="C82" i="9"/>
  <c r="C83" i="9"/>
  <c r="C84" i="9"/>
  <c r="C85" i="9"/>
  <c r="C86" i="9"/>
  <c r="C87" i="9"/>
  <c r="C88" i="9"/>
  <c r="C89" i="9"/>
  <c r="C90" i="9"/>
  <c r="C91" i="9"/>
  <c r="C92" i="9"/>
  <c r="C80" i="9"/>
  <c r="N89" i="25" l="1"/>
  <c r="M89" i="25"/>
  <c r="J79" i="25"/>
  <c r="N86" i="25"/>
  <c r="M86" i="25"/>
  <c r="N8" i="25"/>
  <c r="N79" i="25" s="1"/>
  <c r="N16" i="25"/>
  <c r="N19" i="25"/>
  <c r="N27" i="25"/>
  <c r="N35" i="25"/>
  <c r="N37" i="25"/>
  <c r="N40" i="25"/>
  <c r="N52" i="25"/>
  <c r="N60" i="25"/>
  <c r="N75" i="25"/>
  <c r="M82" i="25"/>
  <c r="M95" i="25" s="1"/>
  <c r="L95" i="25"/>
  <c r="N87" i="25"/>
  <c r="N90" i="25"/>
  <c r="M90" i="25"/>
  <c r="J97" i="25"/>
  <c r="L79" i="25"/>
  <c r="K79" i="25"/>
  <c r="K97" i="25" s="1"/>
  <c r="N10" i="25"/>
  <c r="N21" i="25"/>
  <c r="N29" i="25"/>
  <c r="N39" i="25"/>
  <c r="N42" i="25"/>
  <c r="N46" i="25"/>
  <c r="N54" i="25"/>
  <c r="N62" i="25"/>
  <c r="N71" i="25"/>
  <c r="N77" i="25"/>
  <c r="F95" i="25"/>
  <c r="F97" i="25" s="1"/>
  <c r="N83" i="25"/>
  <c r="N95" i="25" s="1"/>
  <c r="N97" i="25" s="1"/>
  <c r="C97" i="25"/>
  <c r="M8" i="25"/>
  <c r="M10" i="25"/>
  <c r="M79" i="25" s="1"/>
  <c r="M12" i="25"/>
  <c r="M14" i="25"/>
  <c r="M16" i="25"/>
  <c r="M19" i="25"/>
  <c r="M21" i="25"/>
  <c r="M23" i="25"/>
  <c r="M25" i="25"/>
  <c r="M27" i="25"/>
  <c r="M29" i="25"/>
  <c r="M31" i="25"/>
  <c r="M33" i="25"/>
  <c r="M35" i="25"/>
  <c r="M46" i="25"/>
  <c r="M48" i="25"/>
  <c r="M50" i="25"/>
  <c r="M52" i="25"/>
  <c r="M54" i="25"/>
  <c r="M56" i="25"/>
  <c r="M58" i="25"/>
  <c r="M60" i="25"/>
  <c r="M62" i="25"/>
  <c r="M64" i="25"/>
  <c r="M66" i="25"/>
  <c r="M71" i="25"/>
  <c r="M73" i="25"/>
  <c r="M75" i="25"/>
  <c r="M77" i="25"/>
  <c r="M97" i="25" l="1"/>
  <c r="L97" i="25"/>
  <c r="L4" i="2" l="1"/>
  <c r="K3" i="2"/>
  <c r="J1" i="2"/>
  <c r="N100" i="2" l="1"/>
  <c r="K2" i="4" l="1"/>
  <c r="K1" i="4"/>
  <c r="F2" i="8"/>
  <c r="E1" i="8"/>
  <c r="F1" i="7"/>
  <c r="E1" i="7"/>
  <c r="D2" i="6"/>
  <c r="C5" i="5"/>
  <c r="F2" i="4" l="1"/>
  <c r="I2" i="4"/>
  <c r="E2" i="4"/>
  <c r="H2" i="4"/>
  <c r="D2" i="4"/>
  <c r="G2" i="4"/>
  <c r="C2" i="4"/>
  <c r="H1" i="4"/>
  <c r="D1" i="4"/>
  <c r="C1" i="4"/>
  <c r="G1" i="4"/>
  <c r="F1" i="4"/>
  <c r="I1" i="4"/>
  <c r="E1" i="4"/>
  <c r="E5" i="5"/>
  <c r="C104" i="11" l="1"/>
  <c r="C103" i="11"/>
  <c r="C102" i="11"/>
  <c r="C101" i="11"/>
  <c r="C100" i="11"/>
  <c r="C99" i="11"/>
  <c r="C98" i="11"/>
  <c r="C97" i="11"/>
  <c r="C96" i="11"/>
  <c r="C95" i="11"/>
  <c r="C94" i="11"/>
  <c r="C93" i="11"/>
  <c r="C92" i="11"/>
  <c r="F106" i="11" l="1"/>
  <c r="F90" i="11"/>
  <c r="F108" i="11" s="1"/>
  <c r="E90" i="11" l="1"/>
  <c r="E106" i="11" l="1"/>
  <c r="E108" i="11" s="1"/>
  <c r="C20" i="11" l="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19" i="11"/>
  <c r="D94" i="2" l="1"/>
  <c r="E94" i="2"/>
  <c r="N2" i="2" l="1"/>
  <c r="P5" i="2" s="1"/>
  <c r="B105" i="4" l="1"/>
  <c r="B104" i="4"/>
  <c r="B103" i="4"/>
  <c r="B102" i="4"/>
  <c r="B101" i="4"/>
  <c r="B100" i="4"/>
  <c r="A105" i="4"/>
  <c r="A104" i="4"/>
  <c r="A103" i="4"/>
  <c r="A102" i="4"/>
  <c r="A101" i="4"/>
  <c r="A100" i="4"/>
  <c r="N4" i="2" l="1"/>
  <c r="R5" i="2" s="1"/>
  <c r="N3" i="2"/>
  <c r="Q5" i="2" s="1"/>
  <c r="AJ46" i="20" l="1"/>
  <c r="AD46" i="20"/>
  <c r="AG46" i="20" s="1"/>
  <c r="AM46" i="20" l="1"/>
  <c r="AF46" i="20"/>
  <c r="AL46" i="20"/>
  <c r="R92" i="17" l="1"/>
  <c r="R90" i="17"/>
  <c r="R74" i="17"/>
  <c r="R88" i="17"/>
  <c r="R87" i="17"/>
  <c r="R86" i="17"/>
  <c r="R85" i="17"/>
  <c r="R84" i="17"/>
  <c r="R83" i="17"/>
  <c r="R82" i="17"/>
  <c r="R81" i="17"/>
  <c r="R80" i="17"/>
  <c r="R79" i="17"/>
  <c r="R78" i="17"/>
  <c r="R77" i="17"/>
  <c r="R76" i="17"/>
  <c r="R3" i="17"/>
  <c r="R4" i="17"/>
  <c r="R5" i="17"/>
  <c r="R6" i="17"/>
  <c r="R7" i="17"/>
  <c r="R8" i="17"/>
  <c r="R9" i="17"/>
  <c r="R10" i="17"/>
  <c r="R11" i="17"/>
  <c r="R12" i="17"/>
  <c r="R13" i="17"/>
  <c r="R14" i="17"/>
  <c r="R15" i="17"/>
  <c r="R16" i="17"/>
  <c r="R17" i="17"/>
  <c r="R18" i="17"/>
  <c r="R19" i="17"/>
  <c r="R20" i="17"/>
  <c r="R21" i="17"/>
  <c r="R22" i="17"/>
  <c r="R23" i="17"/>
  <c r="R24" i="17"/>
  <c r="R25" i="17"/>
  <c r="R26" i="17"/>
  <c r="R27" i="17"/>
  <c r="R28" i="17"/>
  <c r="R29" i="17"/>
  <c r="R30" i="17"/>
  <c r="R31" i="17"/>
  <c r="R32" i="17"/>
  <c r="R33" i="17"/>
  <c r="R34" i="17"/>
  <c r="R35" i="17"/>
  <c r="R36" i="17"/>
  <c r="R37" i="17"/>
  <c r="R38" i="17"/>
  <c r="R39" i="17"/>
  <c r="R40" i="17"/>
  <c r="R41" i="17"/>
  <c r="R42" i="17"/>
  <c r="R43" i="17"/>
  <c r="R44" i="17"/>
  <c r="R45" i="17"/>
  <c r="R46" i="17"/>
  <c r="R47" i="17"/>
  <c r="R48" i="17"/>
  <c r="R49" i="17"/>
  <c r="R50" i="17"/>
  <c r="R51" i="17"/>
  <c r="R52" i="17"/>
  <c r="R53" i="17"/>
  <c r="R54" i="17"/>
  <c r="R55" i="17"/>
  <c r="R56" i="17"/>
  <c r="R57" i="17"/>
  <c r="R58" i="17"/>
  <c r="R59" i="17"/>
  <c r="R60" i="17"/>
  <c r="R61" i="17"/>
  <c r="R62" i="17"/>
  <c r="R63" i="17"/>
  <c r="R64" i="17"/>
  <c r="R65" i="17"/>
  <c r="R66" i="17"/>
  <c r="R67" i="17"/>
  <c r="R68" i="17"/>
  <c r="R69" i="17"/>
  <c r="R70" i="17"/>
  <c r="R71" i="17"/>
  <c r="R72" i="17"/>
  <c r="R2" i="17"/>
  <c r="P88" i="17" l="1"/>
  <c r="P87" i="17"/>
  <c r="P86" i="17"/>
  <c r="P85" i="17"/>
  <c r="P84" i="17"/>
  <c r="P83" i="17"/>
  <c r="P82" i="17"/>
  <c r="P81" i="17"/>
  <c r="P80" i="17"/>
  <c r="P79" i="17"/>
  <c r="P78" i="17"/>
  <c r="P77" i="17"/>
  <c r="P76" i="17"/>
  <c r="P3" i="17"/>
  <c r="P4" i="17"/>
  <c r="P5"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P43" i="17"/>
  <c r="P44" i="17"/>
  <c r="P45" i="17"/>
  <c r="P46" i="17"/>
  <c r="P47" i="17"/>
  <c r="P48" i="17"/>
  <c r="P49" i="17"/>
  <c r="P50" i="17"/>
  <c r="P51" i="17"/>
  <c r="P52" i="17"/>
  <c r="P53" i="17"/>
  <c r="P54" i="17"/>
  <c r="P55" i="17"/>
  <c r="P56" i="17"/>
  <c r="P57" i="17"/>
  <c r="P58" i="17"/>
  <c r="P59" i="17"/>
  <c r="P60" i="17"/>
  <c r="P61" i="17"/>
  <c r="P62" i="17"/>
  <c r="P63" i="17"/>
  <c r="P64" i="17"/>
  <c r="P65" i="17"/>
  <c r="P66" i="17"/>
  <c r="P67" i="17"/>
  <c r="P68" i="17"/>
  <c r="P69" i="17"/>
  <c r="P70" i="17"/>
  <c r="P71" i="17"/>
  <c r="P72" i="17"/>
  <c r="P2" i="17"/>
  <c r="K90" i="17"/>
  <c r="J90" i="17"/>
  <c r="G90" i="17"/>
  <c r="F90" i="17"/>
  <c r="C90" i="17"/>
  <c r="L74" i="17"/>
  <c r="H74" i="17"/>
  <c r="D74" i="17"/>
  <c r="I94" i="16"/>
  <c r="H94" i="16"/>
  <c r="G94" i="16"/>
  <c r="E94" i="16"/>
  <c r="D94" i="16"/>
  <c r="C94" i="16"/>
  <c r="L92" i="16"/>
  <c r="K92" i="16"/>
  <c r="J92" i="16"/>
  <c r="F92" i="16"/>
  <c r="M91" i="16"/>
  <c r="L91" i="16"/>
  <c r="K91" i="16"/>
  <c r="J91" i="16"/>
  <c r="N91" i="16" s="1"/>
  <c r="F91" i="16"/>
  <c r="L90" i="16"/>
  <c r="K90" i="16"/>
  <c r="J90" i="16"/>
  <c r="F90" i="16"/>
  <c r="L89" i="16"/>
  <c r="K89" i="16"/>
  <c r="J89" i="16"/>
  <c r="N89" i="16" s="1"/>
  <c r="F89" i="16"/>
  <c r="L88" i="16"/>
  <c r="K88" i="16"/>
  <c r="J88" i="16"/>
  <c r="N88" i="16" s="1"/>
  <c r="F88" i="16"/>
  <c r="L87" i="16"/>
  <c r="K87" i="16"/>
  <c r="J87" i="16"/>
  <c r="F87" i="16"/>
  <c r="L86" i="16"/>
  <c r="K86" i="16"/>
  <c r="M86" i="16" s="1"/>
  <c r="J86" i="16"/>
  <c r="F86" i="16"/>
  <c r="L85" i="16"/>
  <c r="M85" i="16" s="1"/>
  <c r="K85" i="16"/>
  <c r="J85" i="16"/>
  <c r="F85" i="16"/>
  <c r="L84" i="16"/>
  <c r="K84" i="16"/>
  <c r="J84" i="16"/>
  <c r="F84" i="16"/>
  <c r="M83" i="16"/>
  <c r="L83" i="16"/>
  <c r="K83" i="16"/>
  <c r="J83" i="16"/>
  <c r="N83" i="16" s="1"/>
  <c r="F83" i="16"/>
  <c r="L82" i="16"/>
  <c r="K82" i="16"/>
  <c r="J82" i="16"/>
  <c r="F82" i="16"/>
  <c r="L81" i="16"/>
  <c r="K81" i="16"/>
  <c r="J81" i="16"/>
  <c r="N81" i="16" s="1"/>
  <c r="F81" i="16"/>
  <c r="L80" i="16"/>
  <c r="K80" i="16"/>
  <c r="J80" i="16"/>
  <c r="J94" i="16" s="1"/>
  <c r="F80" i="16"/>
  <c r="I78" i="16"/>
  <c r="H78" i="16"/>
  <c r="G78" i="16"/>
  <c r="E78" i="16"/>
  <c r="D78" i="16"/>
  <c r="C78" i="16"/>
  <c r="C96" i="16" s="1"/>
  <c r="M76" i="16"/>
  <c r="L76" i="16"/>
  <c r="K76" i="16"/>
  <c r="J76" i="16"/>
  <c r="N76" i="16" s="1"/>
  <c r="F76" i="16"/>
  <c r="L75" i="16"/>
  <c r="K75" i="16"/>
  <c r="J75" i="16"/>
  <c r="N75" i="16" s="1"/>
  <c r="F75" i="16"/>
  <c r="L74" i="16"/>
  <c r="K74" i="16"/>
  <c r="J74" i="16"/>
  <c r="N74" i="16" s="1"/>
  <c r="F74" i="16"/>
  <c r="L73" i="16"/>
  <c r="K73" i="16"/>
  <c r="J73" i="16"/>
  <c r="N73" i="16" s="1"/>
  <c r="F73" i="16"/>
  <c r="L72" i="16"/>
  <c r="K72" i="16"/>
  <c r="J72" i="16"/>
  <c r="F72" i="16"/>
  <c r="L71" i="16"/>
  <c r="K71" i="16"/>
  <c r="M71" i="16" s="1"/>
  <c r="J71" i="16"/>
  <c r="F71" i="16"/>
  <c r="L70" i="16"/>
  <c r="M70" i="16" s="1"/>
  <c r="K70" i="16"/>
  <c r="J70" i="16"/>
  <c r="F70" i="16"/>
  <c r="L69" i="16"/>
  <c r="K69" i="16"/>
  <c r="J69" i="16"/>
  <c r="F69" i="16"/>
  <c r="M68" i="16"/>
  <c r="L68" i="16"/>
  <c r="K68" i="16"/>
  <c r="J68" i="16"/>
  <c r="N68" i="16" s="1"/>
  <c r="F68" i="16"/>
  <c r="L67" i="16"/>
  <c r="K67" i="16"/>
  <c r="J67" i="16"/>
  <c r="N67" i="16" s="1"/>
  <c r="F67" i="16"/>
  <c r="L66" i="16"/>
  <c r="K66" i="16"/>
  <c r="J66" i="16"/>
  <c r="N66" i="16" s="1"/>
  <c r="F66" i="16"/>
  <c r="L65" i="16"/>
  <c r="K65" i="16"/>
  <c r="J65" i="16"/>
  <c r="N65" i="16" s="1"/>
  <c r="F65" i="16"/>
  <c r="L64" i="16"/>
  <c r="K64" i="16"/>
  <c r="J64" i="16"/>
  <c r="F64" i="16"/>
  <c r="L63" i="16"/>
  <c r="K63" i="16"/>
  <c r="M63" i="16" s="1"/>
  <c r="J63" i="16"/>
  <c r="F63" i="16"/>
  <c r="L62" i="16"/>
  <c r="M62" i="16" s="1"/>
  <c r="K62" i="16"/>
  <c r="J62" i="16"/>
  <c r="F62" i="16"/>
  <c r="L61" i="16"/>
  <c r="K61" i="16"/>
  <c r="J61" i="16"/>
  <c r="F61" i="16"/>
  <c r="M60" i="16"/>
  <c r="L60" i="16"/>
  <c r="K60" i="16"/>
  <c r="J60" i="16"/>
  <c r="N60" i="16" s="1"/>
  <c r="F60" i="16"/>
  <c r="L59" i="16"/>
  <c r="K59" i="16"/>
  <c r="J59" i="16"/>
  <c r="N59" i="16" s="1"/>
  <c r="F59" i="16"/>
  <c r="L58" i="16"/>
  <c r="K58" i="16"/>
  <c r="J58" i="16"/>
  <c r="N58" i="16" s="1"/>
  <c r="F58" i="16"/>
  <c r="L57" i="16"/>
  <c r="K57" i="16"/>
  <c r="J57" i="16"/>
  <c r="N57" i="16" s="1"/>
  <c r="F57" i="16"/>
  <c r="L56" i="16"/>
  <c r="K56" i="16"/>
  <c r="J56" i="16"/>
  <c r="F56" i="16"/>
  <c r="L55" i="16"/>
  <c r="K55" i="16"/>
  <c r="M55" i="16" s="1"/>
  <c r="J55" i="16"/>
  <c r="F55" i="16"/>
  <c r="L54" i="16"/>
  <c r="M54" i="16" s="1"/>
  <c r="K54" i="16"/>
  <c r="J54" i="16"/>
  <c r="F54" i="16"/>
  <c r="L53" i="16"/>
  <c r="K53" i="16"/>
  <c r="J53" i="16"/>
  <c r="F53" i="16"/>
  <c r="M52" i="16"/>
  <c r="L52" i="16"/>
  <c r="K52" i="16"/>
  <c r="J52" i="16"/>
  <c r="N52" i="16" s="1"/>
  <c r="F52" i="16"/>
  <c r="L51" i="16"/>
  <c r="K51" i="16"/>
  <c r="J51" i="16"/>
  <c r="N51" i="16" s="1"/>
  <c r="F51" i="16"/>
  <c r="L50" i="16"/>
  <c r="K50" i="16"/>
  <c r="J50" i="16"/>
  <c r="N50" i="16" s="1"/>
  <c r="F50" i="16"/>
  <c r="L49" i="16"/>
  <c r="K49" i="16"/>
  <c r="J49" i="16"/>
  <c r="N49" i="16" s="1"/>
  <c r="F49" i="16"/>
  <c r="L48" i="16"/>
  <c r="K48" i="16"/>
  <c r="J48" i="16"/>
  <c r="F48" i="16"/>
  <c r="L47" i="16"/>
  <c r="K47" i="16"/>
  <c r="M47" i="16" s="1"/>
  <c r="J47" i="16"/>
  <c r="F47" i="16"/>
  <c r="L46" i="16"/>
  <c r="M46" i="16" s="1"/>
  <c r="K46" i="16"/>
  <c r="J46" i="16"/>
  <c r="F46" i="16"/>
  <c r="L45" i="16"/>
  <c r="K45" i="16"/>
  <c r="J45" i="16"/>
  <c r="F45" i="16"/>
  <c r="M44" i="16"/>
  <c r="L44" i="16"/>
  <c r="K44" i="16"/>
  <c r="J44" i="16"/>
  <c r="N44" i="16" s="1"/>
  <c r="F44" i="16"/>
  <c r="L43" i="16"/>
  <c r="K43" i="16"/>
  <c r="J43" i="16"/>
  <c r="N43" i="16" s="1"/>
  <c r="F43" i="16"/>
  <c r="L42" i="16"/>
  <c r="K42" i="16"/>
  <c r="J42" i="16"/>
  <c r="N42" i="16" s="1"/>
  <c r="F42" i="16"/>
  <c r="L41" i="16"/>
  <c r="K41" i="16"/>
  <c r="J41" i="16"/>
  <c r="N41" i="16" s="1"/>
  <c r="F41" i="16"/>
  <c r="L40" i="16"/>
  <c r="K40" i="16"/>
  <c r="J40" i="16"/>
  <c r="F40" i="16"/>
  <c r="L39" i="16"/>
  <c r="K39" i="16"/>
  <c r="M39" i="16" s="1"/>
  <c r="J39" i="16"/>
  <c r="F39" i="16"/>
  <c r="L38" i="16"/>
  <c r="M38" i="16" s="1"/>
  <c r="K38" i="16"/>
  <c r="J38" i="16"/>
  <c r="F38" i="16"/>
  <c r="L37" i="16"/>
  <c r="K37" i="16"/>
  <c r="J37" i="16"/>
  <c r="F37" i="16"/>
  <c r="M36" i="16"/>
  <c r="L36" i="16"/>
  <c r="K36" i="16"/>
  <c r="J36" i="16"/>
  <c r="N36" i="16" s="1"/>
  <c r="F36" i="16"/>
  <c r="L35" i="16"/>
  <c r="K35" i="16"/>
  <c r="J35" i="16"/>
  <c r="N35" i="16" s="1"/>
  <c r="F35" i="16"/>
  <c r="L34" i="16"/>
  <c r="K34" i="16"/>
  <c r="J34" i="16"/>
  <c r="N34" i="16" s="1"/>
  <c r="F34" i="16"/>
  <c r="L33" i="16"/>
  <c r="K33" i="16"/>
  <c r="J33" i="16"/>
  <c r="N33" i="16" s="1"/>
  <c r="F33" i="16"/>
  <c r="L32" i="16"/>
  <c r="K32" i="16"/>
  <c r="J32" i="16"/>
  <c r="F32" i="16"/>
  <c r="L31" i="16"/>
  <c r="K31" i="16"/>
  <c r="M31" i="16" s="1"/>
  <c r="J31" i="16"/>
  <c r="F31" i="16"/>
  <c r="L30" i="16"/>
  <c r="M30" i="16" s="1"/>
  <c r="K30" i="16"/>
  <c r="J30" i="16"/>
  <c r="F30" i="16"/>
  <c r="L29" i="16"/>
  <c r="K29" i="16"/>
  <c r="J29" i="16"/>
  <c r="F29" i="16"/>
  <c r="M28" i="16"/>
  <c r="L28" i="16"/>
  <c r="K28" i="16"/>
  <c r="J28" i="16"/>
  <c r="N28" i="16" s="1"/>
  <c r="F28" i="16"/>
  <c r="L27" i="16"/>
  <c r="K27" i="16"/>
  <c r="J27" i="16"/>
  <c r="N27" i="16" s="1"/>
  <c r="F27" i="16"/>
  <c r="L26" i="16"/>
  <c r="K26" i="16"/>
  <c r="J26" i="16"/>
  <c r="N26" i="16" s="1"/>
  <c r="F26" i="16"/>
  <c r="L25" i="16"/>
  <c r="K25" i="16"/>
  <c r="J25" i="16"/>
  <c r="N25" i="16" s="1"/>
  <c r="F25" i="16"/>
  <c r="L24" i="16"/>
  <c r="K24" i="16"/>
  <c r="J24" i="16"/>
  <c r="F24" i="16"/>
  <c r="L23" i="16"/>
  <c r="K23" i="16"/>
  <c r="M23" i="16" s="1"/>
  <c r="J23" i="16"/>
  <c r="F23" i="16"/>
  <c r="L22" i="16"/>
  <c r="M22" i="16" s="1"/>
  <c r="K22" i="16"/>
  <c r="J22" i="16"/>
  <c r="F22" i="16"/>
  <c r="L21" i="16"/>
  <c r="K21" i="16"/>
  <c r="J21" i="16"/>
  <c r="F21" i="16"/>
  <c r="L20" i="16"/>
  <c r="K20" i="16"/>
  <c r="J20" i="16"/>
  <c r="F20" i="16"/>
  <c r="M19" i="16"/>
  <c r="L19" i="16"/>
  <c r="K19" i="16"/>
  <c r="J19" i="16"/>
  <c r="N19" i="16" s="1"/>
  <c r="F19" i="16"/>
  <c r="L18" i="16"/>
  <c r="K18" i="16"/>
  <c r="J18" i="16"/>
  <c r="N18" i="16" s="1"/>
  <c r="F18" i="16"/>
  <c r="L17" i="16"/>
  <c r="K17" i="16"/>
  <c r="J17" i="16"/>
  <c r="N17" i="16" s="1"/>
  <c r="F17" i="16"/>
  <c r="L16" i="16"/>
  <c r="K16" i="16"/>
  <c r="J16" i="16"/>
  <c r="F16" i="16"/>
  <c r="L15" i="16"/>
  <c r="K15" i="16"/>
  <c r="J15" i="16"/>
  <c r="F15" i="16"/>
  <c r="L14" i="16"/>
  <c r="K14" i="16"/>
  <c r="M14" i="16" s="1"/>
  <c r="J14" i="16"/>
  <c r="F14" i="16"/>
  <c r="L13" i="16"/>
  <c r="M13" i="16" s="1"/>
  <c r="K13" i="16"/>
  <c r="J13" i="16"/>
  <c r="F13" i="16"/>
  <c r="L12" i="16"/>
  <c r="K12" i="16"/>
  <c r="J12" i="16"/>
  <c r="F12" i="16"/>
  <c r="M11" i="16"/>
  <c r="L11" i="16"/>
  <c r="K11" i="16"/>
  <c r="J11" i="16"/>
  <c r="N11" i="16" s="1"/>
  <c r="F11" i="16"/>
  <c r="L10" i="16"/>
  <c r="K10" i="16"/>
  <c r="J10" i="16"/>
  <c r="N10" i="16" s="1"/>
  <c r="F10" i="16"/>
  <c r="L9" i="16"/>
  <c r="K9" i="16"/>
  <c r="J9" i="16"/>
  <c r="N9" i="16" s="1"/>
  <c r="F9" i="16"/>
  <c r="L8" i="16"/>
  <c r="K8" i="16"/>
  <c r="J8" i="16"/>
  <c r="F8" i="16"/>
  <c r="L7" i="16"/>
  <c r="K7" i="16"/>
  <c r="J7" i="16"/>
  <c r="F7" i="16"/>
  <c r="AJ34" i="20" l="1"/>
  <c r="AD34" i="20"/>
  <c r="AJ42" i="20"/>
  <c r="AD42" i="20"/>
  <c r="AD35" i="20"/>
  <c r="AJ35" i="20"/>
  <c r="AJ44" i="20"/>
  <c r="AD44" i="20"/>
  <c r="M25" i="16"/>
  <c r="J78" i="16"/>
  <c r="M9" i="16"/>
  <c r="M12" i="16"/>
  <c r="N15" i="16"/>
  <c r="M17" i="16"/>
  <c r="M20" i="16"/>
  <c r="N24" i="16"/>
  <c r="M26" i="16"/>
  <c r="M29" i="16"/>
  <c r="N32" i="16"/>
  <c r="M34" i="16"/>
  <c r="M37" i="16"/>
  <c r="N40" i="16"/>
  <c r="M42" i="16"/>
  <c r="M45" i="16"/>
  <c r="N48" i="16"/>
  <c r="M50" i="16"/>
  <c r="M53" i="16"/>
  <c r="N56" i="16"/>
  <c r="M58" i="16"/>
  <c r="M61" i="16"/>
  <c r="N64" i="16"/>
  <c r="M66" i="16"/>
  <c r="M69" i="16"/>
  <c r="N72" i="16"/>
  <c r="M74" i="16"/>
  <c r="F94" i="16"/>
  <c r="M81" i="16"/>
  <c r="M84" i="16"/>
  <c r="N86" i="16"/>
  <c r="N87" i="16"/>
  <c r="M89" i="16"/>
  <c r="E96" i="16"/>
  <c r="AJ51" i="20"/>
  <c r="AD51" i="20"/>
  <c r="AD52" i="20"/>
  <c r="AJ52" i="20"/>
  <c r="AJ58" i="20"/>
  <c r="AD58" i="20"/>
  <c r="AJ59" i="20"/>
  <c r="AD59" i="20"/>
  <c r="AJ66" i="20"/>
  <c r="AD66" i="20"/>
  <c r="AJ67" i="20"/>
  <c r="AD67" i="20"/>
  <c r="AJ74" i="20"/>
  <c r="AD74" i="20"/>
  <c r="AJ75" i="20"/>
  <c r="AD75" i="20"/>
  <c r="AJ82" i="20"/>
  <c r="AD82" i="20"/>
  <c r="AJ83" i="20"/>
  <c r="AD83" i="20"/>
  <c r="AJ90" i="20"/>
  <c r="AD90" i="20"/>
  <c r="AD92" i="20"/>
  <c r="AJ92" i="20"/>
  <c r="AJ99" i="20"/>
  <c r="AD99" i="20"/>
  <c r="AD100" i="20"/>
  <c r="AJ100" i="20"/>
  <c r="AD105" i="20"/>
  <c r="AJ105" i="20"/>
  <c r="AJ112" i="20"/>
  <c r="AD112" i="20"/>
  <c r="AD113" i="20"/>
  <c r="AJ113" i="20"/>
  <c r="G96" i="16"/>
  <c r="L78" i="16"/>
  <c r="AJ36" i="20"/>
  <c r="AD36" i="20"/>
  <c r="M16" i="16"/>
  <c r="AJ54" i="20"/>
  <c r="AD54" i="20"/>
  <c r="M33" i="16"/>
  <c r="AD60" i="20"/>
  <c r="AJ60" i="20"/>
  <c r="AJ61" i="20"/>
  <c r="AD61" i="20"/>
  <c r="M41" i="16"/>
  <c r="AD68" i="20"/>
  <c r="AJ68" i="20"/>
  <c r="AJ69" i="20"/>
  <c r="AD69" i="20"/>
  <c r="M49" i="16"/>
  <c r="AD76" i="20"/>
  <c r="AJ76" i="20"/>
  <c r="AJ77" i="20"/>
  <c r="AD77" i="20"/>
  <c r="M57" i="16"/>
  <c r="AD84" i="20"/>
  <c r="AJ84" i="20"/>
  <c r="AJ85" i="20"/>
  <c r="AD85" i="20"/>
  <c r="M65" i="16"/>
  <c r="AJ93" i="20"/>
  <c r="AD93" i="20"/>
  <c r="AJ94" i="20"/>
  <c r="AD94" i="20"/>
  <c r="M73" i="16"/>
  <c r="AJ101" i="20"/>
  <c r="AD101" i="20"/>
  <c r="AJ102" i="20"/>
  <c r="AD102" i="20"/>
  <c r="M80" i="16"/>
  <c r="M94" i="16" s="1"/>
  <c r="AJ107" i="20"/>
  <c r="AD107" i="20"/>
  <c r="M88" i="16"/>
  <c r="AJ115" i="20"/>
  <c r="AD115" i="20"/>
  <c r="H96" i="16"/>
  <c r="M8" i="16"/>
  <c r="AD43" i="20"/>
  <c r="AJ43" i="20"/>
  <c r="AJ53" i="20"/>
  <c r="AD53" i="20"/>
  <c r="M7" i="16"/>
  <c r="M10" i="16"/>
  <c r="N12" i="16"/>
  <c r="N13" i="16"/>
  <c r="M15" i="16"/>
  <c r="M18" i="16"/>
  <c r="N20" i="16"/>
  <c r="N22" i="16"/>
  <c r="M24" i="16"/>
  <c r="M27" i="16"/>
  <c r="N30" i="16"/>
  <c r="M32" i="16"/>
  <c r="M35" i="16"/>
  <c r="N38" i="16"/>
  <c r="M40" i="16"/>
  <c r="M43" i="16"/>
  <c r="N46" i="16"/>
  <c r="M48" i="16"/>
  <c r="M51" i="16"/>
  <c r="N54" i="16"/>
  <c r="M56" i="16"/>
  <c r="M59" i="16"/>
  <c r="N62" i="16"/>
  <c r="M64" i="16"/>
  <c r="M67" i="16"/>
  <c r="N70" i="16"/>
  <c r="M72" i="16"/>
  <c r="M75" i="16"/>
  <c r="L94" i="16"/>
  <c r="M82" i="16"/>
  <c r="N85" i="16"/>
  <c r="M87" i="16"/>
  <c r="M90" i="16"/>
  <c r="D96" i="16"/>
  <c r="J96" i="16"/>
  <c r="M21" i="16"/>
  <c r="G74" i="17"/>
  <c r="K74" i="17"/>
  <c r="E74" i="17"/>
  <c r="I74" i="17"/>
  <c r="D90" i="17"/>
  <c r="H90" i="17"/>
  <c r="L90" i="17"/>
  <c r="L92" i="17" s="1"/>
  <c r="F74" i="17"/>
  <c r="J74" i="17"/>
  <c r="J92" i="17" s="1"/>
  <c r="E90" i="17"/>
  <c r="E92" i="17" s="1"/>
  <c r="I90" i="17"/>
  <c r="M90" i="17"/>
  <c r="M74" i="17"/>
  <c r="D92" i="17"/>
  <c r="H92" i="17"/>
  <c r="I92" i="17"/>
  <c r="M92" i="17"/>
  <c r="F92" i="17"/>
  <c r="G92" i="17"/>
  <c r="K92" i="17"/>
  <c r="C74" i="17"/>
  <c r="C92" i="17" s="1"/>
  <c r="K94" i="16"/>
  <c r="F78" i="16"/>
  <c r="F96" i="16" s="1"/>
  <c r="N14" i="16"/>
  <c r="N21" i="16"/>
  <c r="N29" i="16"/>
  <c r="N37" i="16"/>
  <c r="N45" i="16"/>
  <c r="N53" i="16"/>
  <c r="N61" i="16"/>
  <c r="N69" i="16"/>
  <c r="N82" i="16"/>
  <c r="N90" i="16"/>
  <c r="K78" i="16"/>
  <c r="N8" i="16"/>
  <c r="N16" i="16"/>
  <c r="N23" i="16"/>
  <c r="N31" i="16"/>
  <c r="N39" i="16"/>
  <c r="N47" i="16"/>
  <c r="N55" i="16"/>
  <c r="N63" i="16"/>
  <c r="N71" i="16"/>
  <c r="L96" i="16"/>
  <c r="N84" i="16"/>
  <c r="N92" i="16"/>
  <c r="I96" i="16"/>
  <c r="N7" i="16"/>
  <c r="M92" i="16"/>
  <c r="N80" i="16"/>
  <c r="AD88" i="20" l="1"/>
  <c r="AJ88" i="20"/>
  <c r="AD109" i="20"/>
  <c r="AJ109" i="20"/>
  <c r="AJ87" i="20"/>
  <c r="AD87" i="20"/>
  <c r="AD56" i="20"/>
  <c r="AJ56" i="20"/>
  <c r="AJ45" i="20"/>
  <c r="AD45" i="20"/>
  <c r="AJ37" i="20"/>
  <c r="AD37" i="20"/>
  <c r="AF107" i="20"/>
  <c r="AM107" i="20"/>
  <c r="AL107" i="20"/>
  <c r="AG107" i="20"/>
  <c r="AG94" i="20"/>
  <c r="AL94" i="20"/>
  <c r="AM94" i="20"/>
  <c r="AF94" i="20"/>
  <c r="AL84" i="20"/>
  <c r="AM84" i="20"/>
  <c r="AF84" i="20"/>
  <c r="AG84" i="20"/>
  <c r="AF61" i="20"/>
  <c r="AG61" i="20"/>
  <c r="AM61" i="20"/>
  <c r="AL61" i="20"/>
  <c r="AL36" i="20"/>
  <c r="AM36" i="20"/>
  <c r="AF36" i="20"/>
  <c r="AG36" i="20"/>
  <c r="AF99" i="20"/>
  <c r="AL99" i="20"/>
  <c r="AG99" i="20"/>
  <c r="AM99" i="20"/>
  <c r="AG90" i="20"/>
  <c r="AM90" i="20"/>
  <c r="AF90" i="20"/>
  <c r="AL90" i="20"/>
  <c r="AG82" i="20"/>
  <c r="AL82" i="20"/>
  <c r="AM82" i="20"/>
  <c r="AF82" i="20"/>
  <c r="AG74" i="20"/>
  <c r="AM74" i="20"/>
  <c r="AF74" i="20"/>
  <c r="AL74" i="20"/>
  <c r="AG66" i="20"/>
  <c r="AL66" i="20"/>
  <c r="AM66" i="20"/>
  <c r="AF66" i="20"/>
  <c r="AG58" i="20"/>
  <c r="AM58" i="20"/>
  <c r="AF58" i="20"/>
  <c r="AL58" i="20"/>
  <c r="AF51" i="20"/>
  <c r="AL51" i="20"/>
  <c r="AG51" i="20"/>
  <c r="AM51" i="20"/>
  <c r="AJ111" i="20"/>
  <c r="AD111" i="20"/>
  <c r="AJ81" i="20"/>
  <c r="AD81" i="20"/>
  <c r="AJ50" i="20"/>
  <c r="AD50" i="20"/>
  <c r="AL44" i="20"/>
  <c r="AM44" i="20"/>
  <c r="AF44" i="20"/>
  <c r="AG44" i="20"/>
  <c r="AG42" i="20"/>
  <c r="AM42" i="20"/>
  <c r="AF42" i="20"/>
  <c r="AL42" i="20"/>
  <c r="AJ108" i="20"/>
  <c r="AD108" i="20"/>
  <c r="AJ104" i="20"/>
  <c r="AD104" i="20"/>
  <c r="AD96" i="20"/>
  <c r="AJ96" i="20"/>
  <c r="AJ63" i="20"/>
  <c r="AD63" i="20"/>
  <c r="AF115" i="20"/>
  <c r="AG115" i="20"/>
  <c r="AM115" i="20"/>
  <c r="AL115" i="20"/>
  <c r="AF101" i="20"/>
  <c r="AM101" i="20"/>
  <c r="AL101" i="20"/>
  <c r="AG101" i="20"/>
  <c r="AF85" i="20"/>
  <c r="AM85" i="20"/>
  <c r="AL85" i="20"/>
  <c r="AG85" i="20"/>
  <c r="AL76" i="20"/>
  <c r="AM76" i="20"/>
  <c r="AF76" i="20"/>
  <c r="AG76" i="20"/>
  <c r="AG54" i="20"/>
  <c r="AM54" i="20"/>
  <c r="AF54" i="20"/>
  <c r="AL54" i="20"/>
  <c r="AF113" i="20"/>
  <c r="AG113" i="20"/>
  <c r="AM113" i="20"/>
  <c r="AL113" i="20"/>
  <c r="AF105" i="20"/>
  <c r="AM105" i="20"/>
  <c r="AL105" i="20"/>
  <c r="AG105" i="20"/>
  <c r="AJ110" i="20"/>
  <c r="AD110" i="20"/>
  <c r="AJ89" i="20"/>
  <c r="AD89" i="20"/>
  <c r="AJ57" i="20"/>
  <c r="AD57" i="20"/>
  <c r="AJ114" i="20"/>
  <c r="AD114" i="20"/>
  <c r="AJ95" i="20"/>
  <c r="AD95" i="20"/>
  <c r="AJ49" i="20"/>
  <c r="AD49" i="20"/>
  <c r="AJ86" i="20"/>
  <c r="AD86" i="20"/>
  <c r="AJ41" i="20"/>
  <c r="AD41" i="20"/>
  <c r="AJ78" i="20"/>
  <c r="AD78" i="20"/>
  <c r="AF77" i="20"/>
  <c r="AG77" i="20"/>
  <c r="AM77" i="20"/>
  <c r="AL77" i="20"/>
  <c r="AL68" i="20"/>
  <c r="AG68" i="20"/>
  <c r="AM68" i="20"/>
  <c r="AF68" i="20"/>
  <c r="AL112" i="20"/>
  <c r="AG112" i="20"/>
  <c r="AM112" i="20"/>
  <c r="AF112" i="20"/>
  <c r="AF83" i="20"/>
  <c r="AL83" i="20"/>
  <c r="AG83" i="20"/>
  <c r="AM83" i="20"/>
  <c r="AF75" i="20"/>
  <c r="AG75" i="20"/>
  <c r="AL75" i="20"/>
  <c r="AM75" i="20"/>
  <c r="AF67" i="20"/>
  <c r="AL67" i="20"/>
  <c r="AG67" i="20"/>
  <c r="AM67" i="20"/>
  <c r="AF59" i="20"/>
  <c r="AL59" i="20"/>
  <c r="AG59" i="20"/>
  <c r="AM59" i="20"/>
  <c r="AJ98" i="20"/>
  <c r="AD98" i="20"/>
  <c r="AJ65" i="20"/>
  <c r="AD65" i="20"/>
  <c r="AF34" i="20"/>
  <c r="AM34" i="20"/>
  <c r="AG34" i="20"/>
  <c r="AL34" i="20"/>
  <c r="AJ116" i="20"/>
  <c r="AD116" i="20"/>
  <c r="AJ91" i="20"/>
  <c r="AD91" i="20"/>
  <c r="AJ62" i="20"/>
  <c r="AD62" i="20"/>
  <c r="AD80" i="20"/>
  <c r="AJ80" i="20"/>
  <c r="AJ55" i="20"/>
  <c r="AD55" i="20"/>
  <c r="AD32" i="20"/>
  <c r="AJ32" i="20"/>
  <c r="AJ70" i="20"/>
  <c r="AD70" i="20"/>
  <c r="AJ106" i="20"/>
  <c r="AD106" i="20"/>
  <c r="AD72" i="20"/>
  <c r="AJ72" i="20"/>
  <c r="AF43" i="20"/>
  <c r="AM43" i="20"/>
  <c r="AG43" i="20"/>
  <c r="AL43" i="20"/>
  <c r="AF93" i="20"/>
  <c r="AG93" i="20"/>
  <c r="AM93" i="20"/>
  <c r="AL93" i="20"/>
  <c r="AJ97" i="20"/>
  <c r="AD97" i="20"/>
  <c r="AD64" i="20"/>
  <c r="AJ64" i="20"/>
  <c r="AJ33" i="20"/>
  <c r="AD33" i="20"/>
  <c r="AJ71" i="20"/>
  <c r="AD71" i="20"/>
  <c r="AD39" i="20"/>
  <c r="AJ39" i="20"/>
  <c r="M78" i="16"/>
  <c r="AJ79" i="20"/>
  <c r="AD79" i="20"/>
  <c r="AD48" i="20"/>
  <c r="AJ48" i="20"/>
  <c r="AJ38" i="20"/>
  <c r="AD38" i="20"/>
  <c r="AF53" i="20"/>
  <c r="AM53" i="20"/>
  <c r="AL53" i="20"/>
  <c r="AG53" i="20"/>
  <c r="AG102" i="20"/>
  <c r="AM102" i="20"/>
  <c r="AF102" i="20"/>
  <c r="AL102" i="20"/>
  <c r="AF69" i="20"/>
  <c r="AM69" i="20"/>
  <c r="AL69" i="20"/>
  <c r="AG69" i="20"/>
  <c r="AL60" i="20"/>
  <c r="AM60" i="20"/>
  <c r="AF60" i="20"/>
  <c r="AG60" i="20"/>
  <c r="AL100" i="20"/>
  <c r="AG100" i="20"/>
  <c r="AM100" i="20"/>
  <c r="AF100" i="20"/>
  <c r="AL92" i="20"/>
  <c r="AM92" i="20"/>
  <c r="AF92" i="20"/>
  <c r="AG92" i="20"/>
  <c r="AL52" i="20"/>
  <c r="AG52" i="20"/>
  <c r="AM52" i="20"/>
  <c r="AF52" i="20"/>
  <c r="AJ73" i="20"/>
  <c r="AD73" i="20"/>
  <c r="AJ40" i="20"/>
  <c r="AD40" i="20"/>
  <c r="AF35" i="20"/>
  <c r="AG35" i="20"/>
  <c r="AM35" i="20"/>
  <c r="AL35" i="20"/>
  <c r="AJ47" i="20"/>
  <c r="AD47" i="20"/>
  <c r="M96" i="16"/>
  <c r="N78" i="16"/>
  <c r="N94" i="16"/>
  <c r="K96" i="16"/>
  <c r="N96" i="16" l="1"/>
  <c r="N98" i="16" s="1"/>
  <c r="AL48" i="20"/>
  <c r="AG48" i="20"/>
  <c r="AM48" i="20"/>
  <c r="AF48" i="20"/>
  <c r="AF33" i="20"/>
  <c r="AM33" i="20"/>
  <c r="AG33" i="20"/>
  <c r="AL33" i="20"/>
  <c r="AF97" i="20"/>
  <c r="AM97" i="20"/>
  <c r="AG97" i="20"/>
  <c r="AL97" i="20"/>
  <c r="AG106" i="20"/>
  <c r="AF106" i="20"/>
  <c r="AM106" i="20"/>
  <c r="AL106" i="20"/>
  <c r="AF91" i="20"/>
  <c r="AG91" i="20"/>
  <c r="AL91" i="20"/>
  <c r="AM91" i="20"/>
  <c r="AF65" i="20"/>
  <c r="AM65" i="20"/>
  <c r="AG65" i="20"/>
  <c r="AL65" i="20"/>
  <c r="AG78" i="20"/>
  <c r="AL78" i="20"/>
  <c r="AM78" i="20"/>
  <c r="AF78" i="20"/>
  <c r="AG86" i="20"/>
  <c r="AM86" i="20"/>
  <c r="AF86" i="20"/>
  <c r="AL86" i="20"/>
  <c r="AF95" i="20"/>
  <c r="AM95" i="20"/>
  <c r="AL95" i="20"/>
  <c r="AG95" i="20"/>
  <c r="AF57" i="20"/>
  <c r="AM57" i="20"/>
  <c r="AL57" i="20"/>
  <c r="AG57" i="20"/>
  <c r="AG110" i="20"/>
  <c r="AL110" i="20"/>
  <c r="AM110" i="20"/>
  <c r="AF110" i="20"/>
  <c r="AL108" i="20"/>
  <c r="AF108" i="20"/>
  <c r="AG108" i="20"/>
  <c r="AM108" i="20"/>
  <c r="AF81" i="20"/>
  <c r="AM81" i="20"/>
  <c r="AG81" i="20"/>
  <c r="AL81" i="20"/>
  <c r="AF37" i="20"/>
  <c r="AM37" i="20"/>
  <c r="AG37" i="20"/>
  <c r="AL37" i="20"/>
  <c r="AG38" i="20"/>
  <c r="AM38" i="20"/>
  <c r="AF38" i="20"/>
  <c r="AL38" i="20"/>
  <c r="AF79" i="20"/>
  <c r="AG79" i="20"/>
  <c r="AM79" i="20"/>
  <c r="AL79" i="20"/>
  <c r="AF39" i="20"/>
  <c r="AM39" i="20"/>
  <c r="AL39" i="20"/>
  <c r="AG39" i="20"/>
  <c r="AM32" i="20"/>
  <c r="AL32" i="20"/>
  <c r="AF32" i="20"/>
  <c r="AG32" i="20"/>
  <c r="AL80" i="20"/>
  <c r="AG80" i="20"/>
  <c r="AM80" i="20"/>
  <c r="AF80" i="20"/>
  <c r="AL96" i="20"/>
  <c r="AM96" i="20"/>
  <c r="AF96" i="20"/>
  <c r="AG96" i="20"/>
  <c r="AL56" i="20"/>
  <c r="AG56" i="20"/>
  <c r="AM56" i="20"/>
  <c r="AF56" i="20"/>
  <c r="AF109" i="20"/>
  <c r="AM109" i="20"/>
  <c r="AL109" i="20"/>
  <c r="AG109" i="20"/>
  <c r="AL40" i="20"/>
  <c r="AG40" i="20"/>
  <c r="AM40" i="20"/>
  <c r="AF40" i="20"/>
  <c r="AF71" i="20"/>
  <c r="AM71" i="20"/>
  <c r="AL71" i="20"/>
  <c r="AG71" i="20"/>
  <c r="AG70" i="20"/>
  <c r="AM70" i="20"/>
  <c r="AF70" i="20"/>
  <c r="AL70" i="20"/>
  <c r="AF55" i="20"/>
  <c r="AM55" i="20"/>
  <c r="AL55" i="20"/>
  <c r="AG55" i="20"/>
  <c r="AG62" i="20"/>
  <c r="AL62" i="20"/>
  <c r="AM62" i="20"/>
  <c r="AF62" i="20"/>
  <c r="AL116" i="20"/>
  <c r="AG116" i="20"/>
  <c r="AF116" i="20"/>
  <c r="AM116" i="20"/>
  <c r="AG98" i="20"/>
  <c r="AL98" i="20"/>
  <c r="AM98" i="20"/>
  <c r="AF98" i="20"/>
  <c r="AF41" i="20"/>
  <c r="AL41" i="20"/>
  <c r="AG41" i="20"/>
  <c r="AM41" i="20"/>
  <c r="AF49" i="20"/>
  <c r="AM49" i="20"/>
  <c r="AG49" i="20"/>
  <c r="AL49" i="20"/>
  <c r="AG114" i="20"/>
  <c r="AM114" i="20"/>
  <c r="AL114" i="20"/>
  <c r="AF114" i="20"/>
  <c r="AF89" i="20"/>
  <c r="AM89" i="20"/>
  <c r="AL89" i="20"/>
  <c r="AG89" i="20"/>
  <c r="AF63" i="20"/>
  <c r="AG63" i="20"/>
  <c r="AM63" i="20"/>
  <c r="AL63" i="20"/>
  <c r="AL104" i="20"/>
  <c r="AF104" i="20"/>
  <c r="AM104" i="20"/>
  <c r="AG104" i="20"/>
  <c r="AG50" i="20"/>
  <c r="AL50" i="20"/>
  <c r="AM50" i="20"/>
  <c r="AF50" i="20"/>
  <c r="AF111" i="20"/>
  <c r="AG111" i="20"/>
  <c r="AM111" i="20"/>
  <c r="AL111" i="20"/>
  <c r="AF45" i="20"/>
  <c r="AM45" i="20"/>
  <c r="AG45" i="20"/>
  <c r="AL45" i="20"/>
  <c r="AF87" i="20"/>
  <c r="AM87" i="20"/>
  <c r="AG87" i="20"/>
  <c r="AL87" i="20"/>
  <c r="AF73" i="20"/>
  <c r="AM73" i="20"/>
  <c r="AL73" i="20"/>
  <c r="AG73" i="20"/>
  <c r="AL64" i="20"/>
  <c r="AG64" i="20"/>
  <c r="AM64" i="20"/>
  <c r="AF64" i="20"/>
  <c r="AL72" i="20"/>
  <c r="AM72" i="20"/>
  <c r="AG72" i="20"/>
  <c r="AF72" i="20"/>
  <c r="AL88" i="20"/>
  <c r="AG88" i="20"/>
  <c r="AM88" i="20"/>
  <c r="AF88" i="20"/>
  <c r="AF47" i="20"/>
  <c r="AL47" i="20"/>
  <c r="AG47" i="20"/>
  <c r="AM47" i="20"/>
  <c r="C94" i="12"/>
  <c r="C78" i="12"/>
  <c r="C106" i="11"/>
  <c r="C90" i="11"/>
  <c r="C108" i="11" s="1"/>
  <c r="C78" i="10"/>
  <c r="C94" i="10"/>
  <c r="C75" i="9"/>
  <c r="C74" i="9"/>
  <c r="C71" i="9"/>
  <c r="C70" i="9"/>
  <c r="C69" i="9"/>
  <c r="C67" i="9"/>
  <c r="C66" i="9"/>
  <c r="C65" i="9"/>
  <c r="C63" i="9"/>
  <c r="C62" i="9"/>
  <c r="C61" i="9"/>
  <c r="C59" i="9"/>
  <c r="C58" i="9"/>
  <c r="C57" i="9"/>
  <c r="C55" i="9"/>
  <c r="C54" i="9"/>
  <c r="C53" i="9"/>
  <c r="C51" i="9"/>
  <c r="C50" i="9"/>
  <c r="C49" i="9"/>
  <c r="C47" i="9"/>
  <c r="C46" i="9"/>
  <c r="C45" i="9"/>
  <c r="C43" i="9"/>
  <c r="C42" i="9"/>
  <c r="C41" i="9"/>
  <c r="C39" i="9"/>
  <c r="C38" i="9"/>
  <c r="C37" i="9"/>
  <c r="C35" i="9"/>
  <c r="C34" i="9"/>
  <c r="C33" i="9"/>
  <c r="C31" i="9"/>
  <c r="C30" i="9"/>
  <c r="C29" i="9"/>
  <c r="C27" i="9"/>
  <c r="C26" i="9"/>
  <c r="C25" i="9"/>
  <c r="C23" i="9"/>
  <c r="C22" i="9"/>
  <c r="C20" i="9"/>
  <c r="C19" i="9"/>
  <c r="C18" i="9"/>
  <c r="C16" i="9"/>
  <c r="C15" i="9"/>
  <c r="C14" i="9"/>
  <c r="C12" i="9"/>
  <c r="C11" i="9"/>
  <c r="C10" i="9"/>
  <c r="C8" i="9"/>
  <c r="C7" i="9"/>
  <c r="C76" i="9"/>
  <c r="D78" i="8"/>
  <c r="C96" i="12" l="1"/>
  <c r="C96" i="10"/>
  <c r="C73" i="9"/>
  <c r="C9" i="9"/>
  <c r="C78" i="9" s="1"/>
  <c r="C13" i="9"/>
  <c r="C17" i="9"/>
  <c r="C24" i="9"/>
  <c r="C28" i="9"/>
  <c r="C32" i="9"/>
  <c r="C36" i="9"/>
  <c r="C40" i="9"/>
  <c r="C44" i="9"/>
  <c r="C48" i="9"/>
  <c r="C52" i="9"/>
  <c r="C56" i="9"/>
  <c r="C60" i="9"/>
  <c r="C64" i="9"/>
  <c r="C68" i="9"/>
  <c r="C72" i="9"/>
  <c r="C94" i="8"/>
  <c r="M94" i="4"/>
  <c r="K94" i="4"/>
  <c r="N78" i="4"/>
  <c r="L78" i="4"/>
  <c r="L92" i="2"/>
  <c r="R92" i="2" s="1"/>
  <c r="AA92" i="2" s="1"/>
  <c r="K92" i="2"/>
  <c r="Q92" i="2" s="1"/>
  <c r="Z92" i="2" s="1"/>
  <c r="L91" i="2"/>
  <c r="R91" i="2" s="1"/>
  <c r="AA91" i="2" s="1"/>
  <c r="K91" i="2"/>
  <c r="Q91" i="2" s="1"/>
  <c r="Z91" i="2" s="1"/>
  <c r="L90" i="2"/>
  <c r="K90" i="2"/>
  <c r="L89" i="2"/>
  <c r="R89" i="2" s="1"/>
  <c r="AA89" i="2" s="1"/>
  <c r="K89" i="2"/>
  <c r="Q89" i="2" s="1"/>
  <c r="Z89" i="2" s="1"/>
  <c r="L88" i="2"/>
  <c r="R88" i="2" s="1"/>
  <c r="AA88" i="2" s="1"/>
  <c r="K88" i="2"/>
  <c r="Q88" i="2" s="1"/>
  <c r="Z88" i="2" s="1"/>
  <c r="L87" i="2"/>
  <c r="K87" i="2"/>
  <c r="L86" i="2"/>
  <c r="K86" i="2"/>
  <c r="L85" i="2"/>
  <c r="R85" i="2" s="1"/>
  <c r="AA85" i="2" s="1"/>
  <c r="K85" i="2"/>
  <c r="Q85" i="2" s="1"/>
  <c r="L84" i="2"/>
  <c r="K84" i="2"/>
  <c r="L83" i="2"/>
  <c r="R83" i="2" s="1"/>
  <c r="AA83" i="2" s="1"/>
  <c r="K83" i="2"/>
  <c r="Q83" i="2" s="1"/>
  <c r="Z83" i="2" s="1"/>
  <c r="L82" i="2"/>
  <c r="K82" i="2"/>
  <c r="L81" i="2"/>
  <c r="K81" i="2"/>
  <c r="L80" i="2"/>
  <c r="R80" i="2" s="1"/>
  <c r="AA80" i="2" s="1"/>
  <c r="K80" i="2"/>
  <c r="Q80" i="2" s="1"/>
  <c r="Z80" i="2" s="1"/>
  <c r="L8" i="2"/>
  <c r="L9" i="2"/>
  <c r="L10" i="2"/>
  <c r="L11" i="2"/>
  <c r="L12" i="2"/>
  <c r="L13" i="2"/>
  <c r="L14" i="2"/>
  <c r="L15" i="2"/>
  <c r="L16" i="2"/>
  <c r="L17" i="2"/>
  <c r="L18" i="2"/>
  <c r="R18" i="2" s="1"/>
  <c r="AA18" i="2" s="1"/>
  <c r="L19" i="2"/>
  <c r="L20" i="2"/>
  <c r="L21" i="2"/>
  <c r="L22" i="2"/>
  <c r="L23" i="2"/>
  <c r="L24" i="2"/>
  <c r="L25" i="2"/>
  <c r="L26" i="2"/>
  <c r="L27" i="2"/>
  <c r="L28" i="2"/>
  <c r="L29" i="2"/>
  <c r="L30" i="2"/>
  <c r="L31" i="2"/>
  <c r="L32" i="2"/>
  <c r="L33" i="2"/>
  <c r="L34" i="2"/>
  <c r="L35" i="2"/>
  <c r="R35" i="2" s="1"/>
  <c r="AA35" i="2" s="1"/>
  <c r="L36" i="2"/>
  <c r="L37" i="2"/>
  <c r="L38" i="2"/>
  <c r="L39" i="2"/>
  <c r="L40" i="2"/>
  <c r="L41" i="2"/>
  <c r="L42" i="2"/>
  <c r="L43" i="2"/>
  <c r="L44" i="2"/>
  <c r="R44" i="2" s="1"/>
  <c r="AA44" i="2" s="1"/>
  <c r="L45" i="2"/>
  <c r="L46" i="2"/>
  <c r="L47" i="2"/>
  <c r="L48" i="2"/>
  <c r="L49" i="2"/>
  <c r="L50" i="2"/>
  <c r="L51" i="2"/>
  <c r="L52" i="2"/>
  <c r="L53" i="2"/>
  <c r="L54" i="2"/>
  <c r="L55" i="2"/>
  <c r="L56" i="2"/>
  <c r="L57" i="2"/>
  <c r="L58" i="2"/>
  <c r="L59" i="2"/>
  <c r="L60" i="2"/>
  <c r="L61" i="2"/>
  <c r="L62" i="2"/>
  <c r="L63" i="2"/>
  <c r="L64" i="2"/>
  <c r="L65" i="2"/>
  <c r="L66" i="2"/>
  <c r="R66" i="2" s="1"/>
  <c r="AA66" i="2" s="1"/>
  <c r="L67" i="2"/>
  <c r="L68" i="2"/>
  <c r="L69" i="2"/>
  <c r="R69" i="2" s="1"/>
  <c r="AA69" i="2" s="1"/>
  <c r="L70" i="2"/>
  <c r="L71" i="2"/>
  <c r="L72" i="2"/>
  <c r="L73" i="2"/>
  <c r="L74" i="2"/>
  <c r="L75" i="2"/>
  <c r="L76" i="2"/>
  <c r="L7" i="2"/>
  <c r="K8" i="2"/>
  <c r="K9" i="2"/>
  <c r="K10" i="2"/>
  <c r="K11" i="2"/>
  <c r="K12" i="2"/>
  <c r="K13" i="2"/>
  <c r="K14" i="2"/>
  <c r="K15" i="2"/>
  <c r="K16" i="2"/>
  <c r="K17" i="2"/>
  <c r="K18" i="2"/>
  <c r="Q18" i="2" s="1"/>
  <c r="Z18" i="2" s="1"/>
  <c r="K19" i="2"/>
  <c r="K20" i="2"/>
  <c r="K21" i="2"/>
  <c r="K22" i="2"/>
  <c r="K23" i="2"/>
  <c r="K24" i="2"/>
  <c r="K25" i="2"/>
  <c r="K26" i="2"/>
  <c r="K27" i="2"/>
  <c r="K28" i="2"/>
  <c r="K29" i="2"/>
  <c r="K30" i="2"/>
  <c r="K31" i="2"/>
  <c r="K32" i="2"/>
  <c r="K33" i="2"/>
  <c r="K34" i="2"/>
  <c r="K35" i="2"/>
  <c r="Q35" i="2" s="1"/>
  <c r="Z35" i="2" s="1"/>
  <c r="K36" i="2"/>
  <c r="K37" i="2"/>
  <c r="K38" i="2"/>
  <c r="K39" i="2"/>
  <c r="K40" i="2"/>
  <c r="K41" i="2"/>
  <c r="K42" i="2"/>
  <c r="K43" i="2"/>
  <c r="K44" i="2"/>
  <c r="Q44" i="2" s="1"/>
  <c r="Z44" i="2" s="1"/>
  <c r="K45" i="2"/>
  <c r="K46" i="2"/>
  <c r="K47" i="2"/>
  <c r="K48" i="2"/>
  <c r="K49" i="2"/>
  <c r="K50" i="2"/>
  <c r="K51" i="2"/>
  <c r="K52" i="2"/>
  <c r="K53" i="2"/>
  <c r="K54" i="2"/>
  <c r="K55" i="2"/>
  <c r="K56" i="2"/>
  <c r="K57" i="2"/>
  <c r="K58" i="2"/>
  <c r="K59" i="2"/>
  <c r="K60" i="2"/>
  <c r="K61" i="2"/>
  <c r="K62" i="2"/>
  <c r="K63" i="2"/>
  <c r="K64" i="2"/>
  <c r="K65" i="2"/>
  <c r="K66" i="2"/>
  <c r="Q66" i="2" s="1"/>
  <c r="Z66" i="2" s="1"/>
  <c r="K67" i="2"/>
  <c r="K68" i="2"/>
  <c r="K69" i="2"/>
  <c r="Q69" i="2" s="1"/>
  <c r="Z69" i="2" s="1"/>
  <c r="K70" i="2"/>
  <c r="K71" i="2"/>
  <c r="K72" i="2"/>
  <c r="K73" i="2"/>
  <c r="K74" i="2"/>
  <c r="K75" i="2"/>
  <c r="K76" i="2"/>
  <c r="K7" i="2"/>
  <c r="J92" i="2"/>
  <c r="P92" i="2" s="1"/>
  <c r="Y92" i="2" s="1"/>
  <c r="AB92" i="2" s="1"/>
  <c r="J91" i="2"/>
  <c r="P91" i="2" s="1"/>
  <c r="Y91" i="2" s="1"/>
  <c r="AB91" i="2" s="1"/>
  <c r="J90" i="2"/>
  <c r="J89" i="2"/>
  <c r="P89" i="2" s="1"/>
  <c r="Y89" i="2" s="1"/>
  <c r="AB89" i="2" s="1"/>
  <c r="J88" i="2"/>
  <c r="P88" i="2" s="1"/>
  <c r="Y88" i="2" s="1"/>
  <c r="AB88" i="2" s="1"/>
  <c r="J87" i="2"/>
  <c r="J86" i="2"/>
  <c r="J85" i="2"/>
  <c r="J84" i="2"/>
  <c r="J83" i="2"/>
  <c r="P83" i="2" s="1"/>
  <c r="Y83" i="2" s="1"/>
  <c r="AB83" i="2" s="1"/>
  <c r="J82" i="2"/>
  <c r="J81" i="2"/>
  <c r="J80" i="2"/>
  <c r="P80" i="2" s="1"/>
  <c r="J8" i="2"/>
  <c r="J9" i="2"/>
  <c r="J10" i="2"/>
  <c r="J11" i="2"/>
  <c r="J12" i="2"/>
  <c r="J13" i="2"/>
  <c r="J14" i="2"/>
  <c r="J15" i="2"/>
  <c r="J16" i="2"/>
  <c r="J17" i="2"/>
  <c r="J18" i="2"/>
  <c r="P18" i="2" s="1"/>
  <c r="Y18" i="2" s="1"/>
  <c r="AB18" i="2" s="1"/>
  <c r="J19" i="2"/>
  <c r="J20" i="2"/>
  <c r="J21" i="2"/>
  <c r="U21" i="2" s="1"/>
  <c r="J22" i="2"/>
  <c r="J23" i="2"/>
  <c r="J24" i="2"/>
  <c r="J25" i="2"/>
  <c r="J26" i="2"/>
  <c r="J27" i="2"/>
  <c r="J28" i="2"/>
  <c r="J29" i="2"/>
  <c r="J30" i="2"/>
  <c r="J31" i="2"/>
  <c r="J32" i="2"/>
  <c r="J33" i="2"/>
  <c r="J34" i="2"/>
  <c r="J35" i="2"/>
  <c r="P35" i="2" s="1"/>
  <c r="Y35" i="2" s="1"/>
  <c r="AB35" i="2" s="1"/>
  <c r="J36" i="2"/>
  <c r="J37" i="2"/>
  <c r="J38" i="2"/>
  <c r="J39" i="2"/>
  <c r="J40" i="2"/>
  <c r="J41" i="2"/>
  <c r="J42" i="2"/>
  <c r="J43" i="2"/>
  <c r="J44" i="2"/>
  <c r="P44" i="2" s="1"/>
  <c r="Y44" i="2" s="1"/>
  <c r="AB44" i="2" s="1"/>
  <c r="J45" i="2"/>
  <c r="J46" i="2"/>
  <c r="J47" i="2"/>
  <c r="J48" i="2"/>
  <c r="J49" i="2"/>
  <c r="J50" i="2"/>
  <c r="J51" i="2"/>
  <c r="J52" i="2"/>
  <c r="J53" i="2"/>
  <c r="J54" i="2"/>
  <c r="J55" i="2"/>
  <c r="J56" i="2"/>
  <c r="J57" i="2"/>
  <c r="J58" i="2"/>
  <c r="J59" i="2"/>
  <c r="J60" i="2"/>
  <c r="J61" i="2"/>
  <c r="J62" i="2"/>
  <c r="J63" i="2"/>
  <c r="J64" i="2"/>
  <c r="J65" i="2"/>
  <c r="J66" i="2"/>
  <c r="P66" i="2" s="1"/>
  <c r="Y66" i="2" s="1"/>
  <c r="AB66" i="2" s="1"/>
  <c r="J67" i="2"/>
  <c r="J68" i="2"/>
  <c r="J69" i="2"/>
  <c r="P69" i="2" s="1"/>
  <c r="Y69" i="2" s="1"/>
  <c r="AB69" i="2" s="1"/>
  <c r="J70" i="2"/>
  <c r="J71" i="2"/>
  <c r="J72" i="2"/>
  <c r="J73" i="2"/>
  <c r="J74" i="2"/>
  <c r="J75" i="2"/>
  <c r="J76" i="2"/>
  <c r="J7" i="2"/>
  <c r="F92" i="2"/>
  <c r="F91" i="2"/>
  <c r="F90" i="2"/>
  <c r="F89" i="2"/>
  <c r="F88" i="2"/>
  <c r="F87" i="2"/>
  <c r="F86" i="2"/>
  <c r="F85" i="2"/>
  <c r="F84" i="2"/>
  <c r="F83" i="2"/>
  <c r="F82" i="2"/>
  <c r="F81" i="2"/>
  <c r="F80"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C94" i="2"/>
  <c r="E78" i="2"/>
  <c r="D78" i="2"/>
  <c r="C78" i="2"/>
  <c r="U76" i="2" l="1"/>
  <c r="P76" i="2"/>
  <c r="U72" i="2"/>
  <c r="Y72" i="2" s="1"/>
  <c r="P72" i="2"/>
  <c r="U68" i="2"/>
  <c r="P68" i="2"/>
  <c r="U64" i="2"/>
  <c r="Y64" i="2" s="1"/>
  <c r="P64" i="2"/>
  <c r="U60" i="2"/>
  <c r="P60" i="2"/>
  <c r="U56" i="2"/>
  <c r="Y56" i="2" s="1"/>
  <c r="P56" i="2"/>
  <c r="U52" i="2"/>
  <c r="P52" i="2"/>
  <c r="U48" i="2"/>
  <c r="Y48" i="2" s="1"/>
  <c r="P48" i="2"/>
  <c r="U40" i="2"/>
  <c r="P40" i="2"/>
  <c r="U36" i="2"/>
  <c r="Y36" i="2" s="1"/>
  <c r="P36" i="2"/>
  <c r="U32" i="2"/>
  <c r="P32" i="2"/>
  <c r="U28" i="2"/>
  <c r="Y28" i="2" s="1"/>
  <c r="P28" i="2"/>
  <c r="U24" i="2"/>
  <c r="P24" i="2"/>
  <c r="U20" i="2"/>
  <c r="Y20" i="2" s="1"/>
  <c r="P20" i="2"/>
  <c r="U16" i="2"/>
  <c r="P16" i="2"/>
  <c r="U12" i="2"/>
  <c r="Y12" i="2" s="1"/>
  <c r="P12" i="2"/>
  <c r="U8" i="2"/>
  <c r="P8" i="2"/>
  <c r="U87" i="2"/>
  <c r="Y87" i="2" s="1"/>
  <c r="P87" i="2"/>
  <c r="V75" i="2"/>
  <c r="Q75" i="2"/>
  <c r="V71" i="2"/>
  <c r="Z71" i="2" s="1"/>
  <c r="Q71" i="2"/>
  <c r="V67" i="2"/>
  <c r="Q67" i="2"/>
  <c r="V63" i="2"/>
  <c r="Z63" i="2" s="1"/>
  <c r="Q63" i="2"/>
  <c r="V59" i="2"/>
  <c r="Q59" i="2"/>
  <c r="V55" i="2"/>
  <c r="Z55" i="2" s="1"/>
  <c r="Q55" i="2"/>
  <c r="V51" i="2"/>
  <c r="Q51" i="2"/>
  <c r="V47" i="2"/>
  <c r="Z47" i="2" s="1"/>
  <c r="Q47" i="2"/>
  <c r="V43" i="2"/>
  <c r="Q43" i="2"/>
  <c r="V39" i="2"/>
  <c r="Z39" i="2" s="1"/>
  <c r="Q39" i="2"/>
  <c r="V31" i="2"/>
  <c r="Q31" i="2"/>
  <c r="V27" i="2"/>
  <c r="Z27" i="2" s="1"/>
  <c r="Q27" i="2"/>
  <c r="V23" i="2"/>
  <c r="Q23" i="2"/>
  <c r="V19" i="2"/>
  <c r="Z19" i="2" s="1"/>
  <c r="Q19" i="2"/>
  <c r="V15" i="2"/>
  <c r="Q15" i="2"/>
  <c r="V11" i="2"/>
  <c r="Z11" i="2" s="1"/>
  <c r="Q11" i="2"/>
  <c r="W7" i="2"/>
  <c r="R7" i="2"/>
  <c r="W73" i="2"/>
  <c r="AA73" i="2" s="1"/>
  <c r="R73" i="2"/>
  <c r="W65" i="2"/>
  <c r="R65" i="2"/>
  <c r="W61" i="2"/>
  <c r="AA61" i="2" s="1"/>
  <c r="R61" i="2"/>
  <c r="W57" i="2"/>
  <c r="R57" i="2"/>
  <c r="W53" i="2"/>
  <c r="AA53" i="2" s="1"/>
  <c r="R53" i="2"/>
  <c r="W49" i="2"/>
  <c r="R49" i="2"/>
  <c r="W45" i="2"/>
  <c r="AA45" i="2" s="1"/>
  <c r="R45" i="2"/>
  <c r="W41" i="2"/>
  <c r="R41" i="2"/>
  <c r="W37" i="2"/>
  <c r="AA37" i="2" s="1"/>
  <c r="R37" i="2"/>
  <c r="W33" i="2"/>
  <c r="R33" i="2"/>
  <c r="W29" i="2"/>
  <c r="AA29" i="2" s="1"/>
  <c r="R29" i="2"/>
  <c r="W25" i="2"/>
  <c r="R25" i="2"/>
  <c r="W21" i="2"/>
  <c r="AA21" i="2" s="1"/>
  <c r="G66" i="39"/>
  <c r="J66" i="39" s="1"/>
  <c r="R21" i="2"/>
  <c r="W17" i="2"/>
  <c r="R17" i="2"/>
  <c r="W13" i="2"/>
  <c r="R13" i="2"/>
  <c r="W9" i="2"/>
  <c r="R9" i="2"/>
  <c r="V81" i="2"/>
  <c r="Q81" i="2"/>
  <c r="Q94" i="2" s="1"/>
  <c r="Z85" i="2"/>
  <c r="V87" i="2"/>
  <c r="Q87" i="2"/>
  <c r="U75" i="2"/>
  <c r="P75" i="2"/>
  <c r="U71" i="2"/>
  <c r="P71" i="2"/>
  <c r="U67" i="2"/>
  <c r="P67" i="2"/>
  <c r="U63" i="2"/>
  <c r="Y63" i="2" s="1"/>
  <c r="P63" i="2"/>
  <c r="U59" i="2"/>
  <c r="P59" i="2"/>
  <c r="U55" i="2"/>
  <c r="Y55" i="2" s="1"/>
  <c r="P55" i="2"/>
  <c r="U51" i="2"/>
  <c r="P51" i="2"/>
  <c r="U47" i="2"/>
  <c r="Y47" i="2" s="1"/>
  <c r="P47" i="2"/>
  <c r="U43" i="2"/>
  <c r="P43" i="2"/>
  <c r="U39" i="2"/>
  <c r="Y39" i="2" s="1"/>
  <c r="P39" i="2"/>
  <c r="U31" i="2"/>
  <c r="P31" i="2"/>
  <c r="U27" i="2"/>
  <c r="Y27" i="2" s="1"/>
  <c r="P27" i="2"/>
  <c r="U23" i="2"/>
  <c r="P23" i="2"/>
  <c r="U19" i="2"/>
  <c r="Y19" i="2" s="1"/>
  <c r="P19" i="2"/>
  <c r="U15" i="2"/>
  <c r="P15" i="2"/>
  <c r="U11" i="2"/>
  <c r="Y11" i="2" s="1"/>
  <c r="P11" i="2"/>
  <c r="Y80" i="2"/>
  <c r="U84" i="2"/>
  <c r="Y84" i="2" s="1"/>
  <c r="P84" i="2"/>
  <c r="V74" i="2"/>
  <c r="Q74" i="2"/>
  <c r="V70" i="2"/>
  <c r="Z70" i="2" s="1"/>
  <c r="Q70" i="2"/>
  <c r="V62" i="2"/>
  <c r="Q62" i="2"/>
  <c r="V58" i="2"/>
  <c r="Z58" i="2" s="1"/>
  <c r="Q58" i="2"/>
  <c r="V54" i="2"/>
  <c r="Q54" i="2"/>
  <c r="V50" i="2"/>
  <c r="Z50" i="2" s="1"/>
  <c r="Q50" i="2"/>
  <c r="V46" i="2"/>
  <c r="Q46" i="2"/>
  <c r="V42" i="2"/>
  <c r="Z42" i="2" s="1"/>
  <c r="Q42" i="2"/>
  <c r="V38" i="2"/>
  <c r="Q38" i="2"/>
  <c r="V34" i="2"/>
  <c r="Z34" i="2" s="1"/>
  <c r="Q34" i="2"/>
  <c r="V30" i="2"/>
  <c r="Q30" i="2"/>
  <c r="V26" i="2"/>
  <c r="Z26" i="2" s="1"/>
  <c r="Q26" i="2"/>
  <c r="V22" i="2"/>
  <c r="Q22" i="2"/>
  <c r="V14" i="2"/>
  <c r="Z14" i="2" s="1"/>
  <c r="Q14" i="2"/>
  <c r="V10" i="2"/>
  <c r="Q10" i="2"/>
  <c r="W76" i="2"/>
  <c r="AA76" i="2" s="1"/>
  <c r="R76" i="2"/>
  <c r="W72" i="2"/>
  <c r="R72" i="2"/>
  <c r="W68" i="2"/>
  <c r="AA68" i="2" s="1"/>
  <c r="R68" i="2"/>
  <c r="W64" i="2"/>
  <c r="R64" i="2"/>
  <c r="W60" i="2"/>
  <c r="AA60" i="2" s="1"/>
  <c r="R60" i="2"/>
  <c r="W56" i="2"/>
  <c r="R56" i="2"/>
  <c r="W52" i="2"/>
  <c r="AA52" i="2" s="1"/>
  <c r="R52" i="2"/>
  <c r="W48" i="2"/>
  <c r="R48" i="2"/>
  <c r="W40" i="2"/>
  <c r="AA40" i="2" s="1"/>
  <c r="R40" i="2"/>
  <c r="W36" i="2"/>
  <c r="R36" i="2"/>
  <c r="W32" i="2"/>
  <c r="AA32" i="2" s="1"/>
  <c r="R32" i="2"/>
  <c r="W28" i="2"/>
  <c r="R28" i="2"/>
  <c r="W24" i="2"/>
  <c r="AA24" i="2" s="1"/>
  <c r="R24" i="2"/>
  <c r="W20" i="2"/>
  <c r="R20" i="2"/>
  <c r="W16" i="2"/>
  <c r="AA16" i="2" s="1"/>
  <c r="R16" i="2"/>
  <c r="W12" i="2"/>
  <c r="R12" i="2"/>
  <c r="W8" i="2"/>
  <c r="AA8" i="2" s="1"/>
  <c r="R8" i="2"/>
  <c r="W81" i="2"/>
  <c r="R81" i="2"/>
  <c r="W87" i="2"/>
  <c r="R87" i="2"/>
  <c r="U74" i="2"/>
  <c r="P74" i="2"/>
  <c r="U70" i="2"/>
  <c r="Y70" i="2" s="1"/>
  <c r="P70" i="2"/>
  <c r="U62" i="2"/>
  <c r="P62" i="2"/>
  <c r="U58" i="2"/>
  <c r="Y58" i="2" s="1"/>
  <c r="P58" i="2"/>
  <c r="U54" i="2"/>
  <c r="P54" i="2"/>
  <c r="U50" i="2"/>
  <c r="Y50" i="2" s="1"/>
  <c r="P50" i="2"/>
  <c r="U46" i="2"/>
  <c r="P46" i="2"/>
  <c r="U42" i="2"/>
  <c r="Y42" i="2" s="1"/>
  <c r="P42" i="2"/>
  <c r="U38" i="2"/>
  <c r="P38" i="2"/>
  <c r="U34" i="2"/>
  <c r="Y34" i="2" s="1"/>
  <c r="P34" i="2"/>
  <c r="U30" i="2"/>
  <c r="P30" i="2"/>
  <c r="U26" i="2"/>
  <c r="Y26" i="2" s="1"/>
  <c r="P26" i="2"/>
  <c r="U22" i="2"/>
  <c r="P22" i="2"/>
  <c r="U14" i="2"/>
  <c r="Y14" i="2" s="1"/>
  <c r="P14" i="2"/>
  <c r="U10" i="2"/>
  <c r="P10" i="2"/>
  <c r="U81" i="2"/>
  <c r="P81" i="2"/>
  <c r="P94" i="2" s="1"/>
  <c r="N85" i="2"/>
  <c r="P85" i="2"/>
  <c r="Y85" i="2" s="1"/>
  <c r="AB85" i="2" s="1"/>
  <c r="V7" i="2"/>
  <c r="Q7" i="2"/>
  <c r="V73" i="2"/>
  <c r="Q73" i="2"/>
  <c r="V65" i="2"/>
  <c r="Z65" i="2" s="1"/>
  <c r="Q65" i="2"/>
  <c r="V61" i="2"/>
  <c r="Q61" i="2"/>
  <c r="V57" i="2"/>
  <c r="Z57" i="2" s="1"/>
  <c r="Q57" i="2"/>
  <c r="V53" i="2"/>
  <c r="Q53" i="2"/>
  <c r="V49" i="2"/>
  <c r="Z49" i="2" s="1"/>
  <c r="Q49" i="2"/>
  <c r="V45" i="2"/>
  <c r="Q45" i="2"/>
  <c r="V41" i="2"/>
  <c r="Z41" i="2" s="1"/>
  <c r="Q41" i="2"/>
  <c r="V37" i="2"/>
  <c r="Q37" i="2"/>
  <c r="V33" i="2"/>
  <c r="Z33" i="2" s="1"/>
  <c r="Q33" i="2"/>
  <c r="V29" i="2"/>
  <c r="Q29" i="2"/>
  <c r="V25" i="2"/>
  <c r="Z25" i="2" s="1"/>
  <c r="Q25" i="2"/>
  <c r="V21" i="2"/>
  <c r="G65" i="39"/>
  <c r="J65" i="39" s="1"/>
  <c r="Q21" i="2"/>
  <c r="H65" i="39" s="1"/>
  <c r="V17" i="2"/>
  <c r="Q17" i="2"/>
  <c r="V13" i="2"/>
  <c r="Q13" i="2"/>
  <c r="V9" i="2"/>
  <c r="Q9" i="2"/>
  <c r="W75" i="2"/>
  <c r="R75" i="2"/>
  <c r="W71" i="2"/>
  <c r="R71" i="2"/>
  <c r="W67" i="2"/>
  <c r="R67" i="2"/>
  <c r="W63" i="2"/>
  <c r="R63" i="2"/>
  <c r="W59" i="2"/>
  <c r="R59" i="2"/>
  <c r="W55" i="2"/>
  <c r="R55" i="2"/>
  <c r="W51" i="2"/>
  <c r="R51" i="2"/>
  <c r="W47" i="2"/>
  <c r="R47" i="2"/>
  <c r="W43" i="2"/>
  <c r="R43" i="2"/>
  <c r="W39" i="2"/>
  <c r="R39" i="2"/>
  <c r="W31" i="2"/>
  <c r="R31" i="2"/>
  <c r="W27" i="2"/>
  <c r="R27" i="2"/>
  <c r="W23" i="2"/>
  <c r="R23" i="2"/>
  <c r="W19" i="2"/>
  <c r="R19" i="2"/>
  <c r="W15" i="2"/>
  <c r="R15" i="2"/>
  <c r="W11" i="2"/>
  <c r="R11" i="2"/>
  <c r="V82" i="2"/>
  <c r="Z82" i="2" s="1"/>
  <c r="Q82" i="2"/>
  <c r="V84" i="2"/>
  <c r="Q84" i="2"/>
  <c r="V86" i="2"/>
  <c r="Z86" i="2" s="1"/>
  <c r="Q86" i="2"/>
  <c r="V90" i="2"/>
  <c r="Q90" i="2"/>
  <c r="U7" i="2"/>
  <c r="Y7" i="2" s="1"/>
  <c r="P7" i="2"/>
  <c r="U73" i="2"/>
  <c r="P73" i="2"/>
  <c r="U65" i="2"/>
  <c r="Y65" i="2" s="1"/>
  <c r="P65" i="2"/>
  <c r="U61" i="2"/>
  <c r="P61" i="2"/>
  <c r="U57" i="2"/>
  <c r="Y57" i="2" s="1"/>
  <c r="P57" i="2"/>
  <c r="U53" i="2"/>
  <c r="P53" i="2"/>
  <c r="U49" i="2"/>
  <c r="Y49" i="2" s="1"/>
  <c r="P49" i="2"/>
  <c r="U45" i="2"/>
  <c r="P45" i="2"/>
  <c r="U41" i="2"/>
  <c r="Y41" i="2" s="1"/>
  <c r="P41" i="2"/>
  <c r="U37" i="2"/>
  <c r="P37" i="2"/>
  <c r="U33" i="2"/>
  <c r="Y33" i="2" s="1"/>
  <c r="P33" i="2"/>
  <c r="U29" i="2"/>
  <c r="P29" i="2"/>
  <c r="U25" i="2"/>
  <c r="Y25" i="2" s="1"/>
  <c r="P25" i="2"/>
  <c r="U17" i="2"/>
  <c r="P17" i="2"/>
  <c r="U13" i="2"/>
  <c r="Y13" i="2" s="1"/>
  <c r="P13" i="2"/>
  <c r="U9" i="2"/>
  <c r="P9" i="2"/>
  <c r="U82" i="2"/>
  <c r="Y82" i="2" s="1"/>
  <c r="P82" i="2"/>
  <c r="U86" i="2"/>
  <c r="P86" i="2"/>
  <c r="U90" i="2"/>
  <c r="Y90" i="2" s="1"/>
  <c r="P90" i="2"/>
  <c r="V76" i="2"/>
  <c r="Q76" i="2"/>
  <c r="V72" i="2"/>
  <c r="Z72" i="2" s="1"/>
  <c r="Q72" i="2"/>
  <c r="V68" i="2"/>
  <c r="Q68" i="2"/>
  <c r="V64" i="2"/>
  <c r="Z64" i="2" s="1"/>
  <c r="Q64" i="2"/>
  <c r="V60" i="2"/>
  <c r="Q60" i="2"/>
  <c r="V56" i="2"/>
  <c r="Z56" i="2" s="1"/>
  <c r="Q56" i="2"/>
  <c r="V52" i="2"/>
  <c r="Q52" i="2"/>
  <c r="V48" i="2"/>
  <c r="Z48" i="2" s="1"/>
  <c r="Q48" i="2"/>
  <c r="V40" i="2"/>
  <c r="Q40" i="2"/>
  <c r="V36" i="2"/>
  <c r="Z36" i="2" s="1"/>
  <c r="Q36" i="2"/>
  <c r="V32" i="2"/>
  <c r="Q32" i="2"/>
  <c r="V28" i="2"/>
  <c r="Z28" i="2" s="1"/>
  <c r="Q28" i="2"/>
  <c r="V24" i="2"/>
  <c r="Q24" i="2"/>
  <c r="V20" i="2"/>
  <c r="Z20" i="2" s="1"/>
  <c r="Q20" i="2"/>
  <c r="V16" i="2"/>
  <c r="Q16" i="2"/>
  <c r="V12" i="2"/>
  <c r="Z12" i="2" s="1"/>
  <c r="Q12" i="2"/>
  <c r="V8" i="2"/>
  <c r="Q8" i="2"/>
  <c r="W74" i="2"/>
  <c r="AA74" i="2" s="1"/>
  <c r="R74" i="2"/>
  <c r="W70" i="2"/>
  <c r="R70" i="2"/>
  <c r="W62" i="2"/>
  <c r="AA62" i="2" s="1"/>
  <c r="R62" i="2"/>
  <c r="W58" i="2"/>
  <c r="R58" i="2"/>
  <c r="W54" i="2"/>
  <c r="AA54" i="2" s="1"/>
  <c r="R54" i="2"/>
  <c r="W50" i="2"/>
  <c r="R50" i="2"/>
  <c r="W46" i="2"/>
  <c r="AA46" i="2" s="1"/>
  <c r="R46" i="2"/>
  <c r="W42" i="2"/>
  <c r="R42" i="2"/>
  <c r="W38" i="2"/>
  <c r="AA38" i="2" s="1"/>
  <c r="R38" i="2"/>
  <c r="W34" i="2"/>
  <c r="R34" i="2"/>
  <c r="W30" i="2"/>
  <c r="AA30" i="2" s="1"/>
  <c r="R30" i="2"/>
  <c r="W26" i="2"/>
  <c r="R26" i="2"/>
  <c r="W22" i="2"/>
  <c r="AA22" i="2" s="1"/>
  <c r="R22" i="2"/>
  <c r="W14" i="2"/>
  <c r="R14" i="2"/>
  <c r="W10" i="2"/>
  <c r="AA10" i="2" s="1"/>
  <c r="R10" i="2"/>
  <c r="W82" i="2"/>
  <c r="R82" i="2"/>
  <c r="W84" i="2"/>
  <c r="R84" i="2"/>
  <c r="W86" i="2"/>
  <c r="R86" i="2"/>
  <c r="W90" i="2"/>
  <c r="R90" i="2"/>
  <c r="P21" i="2"/>
  <c r="G64" i="39"/>
  <c r="N90" i="2"/>
  <c r="M90" i="2"/>
  <c r="N43" i="2"/>
  <c r="N82" i="2"/>
  <c r="N32" i="2"/>
  <c r="N24" i="2"/>
  <c r="N7" i="2"/>
  <c r="N45" i="2"/>
  <c r="N81" i="2"/>
  <c r="N20" i="2"/>
  <c r="N53" i="2"/>
  <c r="N42" i="2"/>
  <c r="K78" i="2"/>
  <c r="N92" i="2"/>
  <c r="N25" i="2"/>
  <c r="M85" i="2"/>
  <c r="M89" i="2"/>
  <c r="N75" i="2"/>
  <c r="N47" i="2"/>
  <c r="N31" i="2"/>
  <c r="N10" i="2"/>
  <c r="N40" i="2"/>
  <c r="M82" i="2"/>
  <c r="N73" i="2"/>
  <c r="N57" i="2"/>
  <c r="N41" i="2"/>
  <c r="N37" i="2"/>
  <c r="N21" i="2"/>
  <c r="N69" i="2"/>
  <c r="N35" i="2"/>
  <c r="M87" i="2"/>
  <c r="M91" i="2"/>
  <c r="N63" i="2"/>
  <c r="N39" i="2"/>
  <c r="N23" i="2"/>
  <c r="N84" i="2"/>
  <c r="M80" i="2"/>
  <c r="M84" i="2"/>
  <c r="D96" i="2"/>
  <c r="C96" i="2"/>
  <c r="N58" i="2"/>
  <c r="N80" i="2"/>
  <c r="M92" i="2"/>
  <c r="M81" i="2"/>
  <c r="N68" i="2"/>
  <c r="N52" i="2"/>
  <c r="N17" i="2"/>
  <c r="N9" i="2"/>
  <c r="N83" i="2"/>
  <c r="N86" i="2"/>
  <c r="M86" i="2"/>
  <c r="N67" i="2"/>
  <c r="N51" i="2"/>
  <c r="N27" i="2"/>
  <c r="N16" i="2"/>
  <c r="N8" i="2"/>
  <c r="M83" i="2"/>
  <c r="M88" i="2"/>
  <c r="M72" i="2"/>
  <c r="M64" i="2"/>
  <c r="M52" i="2"/>
  <c r="M48" i="2"/>
  <c r="M36" i="2"/>
  <c r="M24" i="2"/>
  <c r="M9" i="2"/>
  <c r="N72" i="2"/>
  <c r="N36" i="2"/>
  <c r="M71" i="2"/>
  <c r="M67" i="2"/>
  <c r="M63" i="2"/>
  <c r="M55" i="2"/>
  <c r="M51" i="2"/>
  <c r="M43" i="2"/>
  <c r="M39" i="2"/>
  <c r="M31" i="2"/>
  <c r="M27" i="2"/>
  <c r="M23" i="2"/>
  <c r="M16" i="2"/>
  <c r="M12" i="2"/>
  <c r="M8" i="2"/>
  <c r="N71" i="2"/>
  <c r="N64" i="2"/>
  <c r="N55" i="2"/>
  <c r="N48" i="2"/>
  <c r="N12" i="2"/>
  <c r="M74" i="2"/>
  <c r="M70" i="2"/>
  <c r="M66" i="2"/>
  <c r="M62" i="2"/>
  <c r="M58" i="2"/>
  <c r="M54" i="2"/>
  <c r="M50" i="2"/>
  <c r="M46" i="2"/>
  <c r="M42" i="2"/>
  <c r="M38" i="2"/>
  <c r="M34" i="2"/>
  <c r="M30" i="2"/>
  <c r="M26" i="2"/>
  <c r="M22" i="2"/>
  <c r="M19" i="2"/>
  <c r="M15" i="2"/>
  <c r="M11" i="2"/>
  <c r="M76" i="2"/>
  <c r="M60" i="2"/>
  <c r="M44" i="2"/>
  <c r="M32" i="2"/>
  <c r="M17" i="2"/>
  <c r="M68" i="2"/>
  <c r="M56" i="2"/>
  <c r="M40" i="2"/>
  <c r="M28" i="2"/>
  <c r="M13" i="2"/>
  <c r="N56" i="2"/>
  <c r="M75" i="2"/>
  <c r="M59" i="2"/>
  <c r="M47" i="2"/>
  <c r="M35" i="2"/>
  <c r="M20" i="2"/>
  <c r="C94" i="9"/>
  <c r="C96" i="9" s="1"/>
  <c r="C78" i="6"/>
  <c r="M77" i="4"/>
  <c r="L94" i="2"/>
  <c r="N59" i="2"/>
  <c r="N88" i="2"/>
  <c r="E96" i="2"/>
  <c r="M7" i="2"/>
  <c r="M73" i="2"/>
  <c r="M69" i="2"/>
  <c r="M65" i="2"/>
  <c r="M61" i="2"/>
  <c r="M57" i="2"/>
  <c r="M53" i="2"/>
  <c r="M49" i="2"/>
  <c r="M45" i="2"/>
  <c r="M41" i="2"/>
  <c r="M37" i="2"/>
  <c r="M33" i="2"/>
  <c r="M29" i="2"/>
  <c r="M25" i="2"/>
  <c r="M21" i="2"/>
  <c r="M18" i="2"/>
  <c r="M14" i="2"/>
  <c r="M10" i="2"/>
  <c r="N89" i="2"/>
  <c r="N74" i="2"/>
  <c r="N26" i="2"/>
  <c r="N11" i="2"/>
  <c r="F94" i="2"/>
  <c r="N65" i="2"/>
  <c r="N61" i="2"/>
  <c r="N49" i="2"/>
  <c r="N33" i="2"/>
  <c r="N29" i="2"/>
  <c r="N18" i="2"/>
  <c r="N14" i="2"/>
  <c r="F78" i="2"/>
  <c r="N76" i="2"/>
  <c r="N60" i="2"/>
  <c r="N44" i="2"/>
  <c r="N28" i="2"/>
  <c r="N13" i="2"/>
  <c r="K94" i="2"/>
  <c r="N87" i="2"/>
  <c r="N91" i="2"/>
  <c r="L78" i="2"/>
  <c r="N70" i="2"/>
  <c r="N66" i="2"/>
  <c r="N62" i="2"/>
  <c r="N54" i="2"/>
  <c r="N50" i="2"/>
  <c r="N46" i="2"/>
  <c r="N38" i="2"/>
  <c r="N34" i="2"/>
  <c r="N30" i="2"/>
  <c r="N22" i="2"/>
  <c r="N19" i="2"/>
  <c r="N15" i="2"/>
  <c r="J94" i="2"/>
  <c r="J78" i="2"/>
  <c r="R94" i="2" l="1"/>
  <c r="Z7" i="2"/>
  <c r="V78" i="2"/>
  <c r="Y81" i="2"/>
  <c r="U94" i="2"/>
  <c r="AB34" i="2"/>
  <c r="AB70" i="2"/>
  <c r="W94" i="2"/>
  <c r="AA87" i="2"/>
  <c r="Y71" i="2"/>
  <c r="Z87" i="2"/>
  <c r="AB87" i="2" s="1"/>
  <c r="Z81" i="2"/>
  <c r="V94" i="2"/>
  <c r="V96" i="2" s="1"/>
  <c r="AA13" i="2"/>
  <c r="AA86" i="2"/>
  <c r="AA82" i="2"/>
  <c r="AB82" i="2" s="1"/>
  <c r="AA15" i="2"/>
  <c r="AA23" i="2"/>
  <c r="AA31" i="2"/>
  <c r="AA43" i="2"/>
  <c r="AA51" i="2"/>
  <c r="AA59" i="2"/>
  <c r="AA67" i="2"/>
  <c r="AA75" i="2"/>
  <c r="Z13" i="2"/>
  <c r="AB13" i="2" s="1"/>
  <c r="AA14" i="2"/>
  <c r="AB14" i="2" s="1"/>
  <c r="AA26" i="2"/>
  <c r="AB26" i="2" s="1"/>
  <c r="AA34" i="2"/>
  <c r="AA42" i="2"/>
  <c r="AB42" i="2" s="1"/>
  <c r="AA50" i="2"/>
  <c r="AB50" i="2" s="1"/>
  <c r="AA58" i="2"/>
  <c r="AB58" i="2" s="1"/>
  <c r="AA70" i="2"/>
  <c r="Z8" i="2"/>
  <c r="Z16" i="2"/>
  <c r="Z24" i="2"/>
  <c r="Z32" i="2"/>
  <c r="Z40" i="2"/>
  <c r="Z52" i="2"/>
  <c r="Z60" i="2"/>
  <c r="Z68" i="2"/>
  <c r="Z76" i="2"/>
  <c r="Y86" i="2"/>
  <c r="AB86" i="2" s="1"/>
  <c r="Y9" i="2"/>
  <c r="Y17" i="2"/>
  <c r="Y29" i="2"/>
  <c r="Y37" i="2"/>
  <c r="Y45" i="2"/>
  <c r="AB45" i="2" s="1"/>
  <c r="Y53" i="2"/>
  <c r="AB53" i="2" s="1"/>
  <c r="Y61" i="2"/>
  <c r="Y73" i="2"/>
  <c r="Z90" i="2"/>
  <c r="AB90" i="2" s="1"/>
  <c r="Z84" i="2"/>
  <c r="AB84" i="2" s="1"/>
  <c r="Z21" i="2"/>
  <c r="Z29" i="2"/>
  <c r="Z37" i="2"/>
  <c r="Z45" i="2"/>
  <c r="Z53" i="2"/>
  <c r="Z61" i="2"/>
  <c r="Z73" i="2"/>
  <c r="Y10" i="2"/>
  <c r="Y22" i="2"/>
  <c r="Y30" i="2"/>
  <c r="Y38" i="2"/>
  <c r="AB38" i="2" s="1"/>
  <c r="Y46" i="2"/>
  <c r="AB46" i="2" s="1"/>
  <c r="Y54" i="2"/>
  <c r="Y62" i="2"/>
  <c r="Y74" i="2"/>
  <c r="AB74" i="2" s="1"/>
  <c r="AA81" i="2"/>
  <c r="AA12" i="2"/>
  <c r="AB12" i="2" s="1"/>
  <c r="AA20" i="2"/>
  <c r="AB20" i="2" s="1"/>
  <c r="AA28" i="2"/>
  <c r="AB28" i="2" s="1"/>
  <c r="AA36" i="2"/>
  <c r="AB36" i="2" s="1"/>
  <c r="AA48" i="2"/>
  <c r="AB48" i="2" s="1"/>
  <c r="AA56" i="2"/>
  <c r="AB56" i="2" s="1"/>
  <c r="AA64" i="2"/>
  <c r="AB64" i="2" s="1"/>
  <c r="AA72" i="2"/>
  <c r="AB72" i="2" s="1"/>
  <c r="Z10" i="2"/>
  <c r="Z22" i="2"/>
  <c r="Z30" i="2"/>
  <c r="Z38" i="2"/>
  <c r="Z46" i="2"/>
  <c r="Z54" i="2"/>
  <c r="Z62" i="2"/>
  <c r="Z74" i="2"/>
  <c r="AB80" i="2"/>
  <c r="Y15" i="2"/>
  <c r="AB15" i="2" s="1"/>
  <c r="Y23" i="2"/>
  <c r="Y31" i="2"/>
  <c r="Y43" i="2"/>
  <c r="Y51" i="2"/>
  <c r="AB51" i="2" s="1"/>
  <c r="Y59" i="2"/>
  <c r="Y67" i="2"/>
  <c r="Y75" i="2"/>
  <c r="AA9" i="2"/>
  <c r="AA17" i="2"/>
  <c r="R78" i="2"/>
  <c r="R96" i="2" s="1"/>
  <c r="AA90" i="2"/>
  <c r="AA84" i="2"/>
  <c r="AA11" i="2"/>
  <c r="AB11" i="2" s="1"/>
  <c r="AA19" i="2"/>
  <c r="AB19" i="2" s="1"/>
  <c r="AA27" i="2"/>
  <c r="AB27" i="2" s="1"/>
  <c r="AA39" i="2"/>
  <c r="AB39" i="2" s="1"/>
  <c r="AA47" i="2"/>
  <c r="AB47" i="2" s="1"/>
  <c r="AA55" i="2"/>
  <c r="AB55" i="2" s="1"/>
  <c r="AA63" i="2"/>
  <c r="AB63" i="2" s="1"/>
  <c r="AA71" i="2"/>
  <c r="Z9" i="2"/>
  <c r="Z17" i="2"/>
  <c r="Q78" i="2"/>
  <c r="Q96" i="2" s="1"/>
  <c r="H66" i="39"/>
  <c r="AA25" i="2"/>
  <c r="AB25" i="2" s="1"/>
  <c r="AA33" i="2"/>
  <c r="AB33" i="2" s="1"/>
  <c r="AA41" i="2"/>
  <c r="AB41" i="2" s="1"/>
  <c r="AA49" i="2"/>
  <c r="AB49" i="2" s="1"/>
  <c r="AA57" i="2"/>
  <c r="AB57" i="2" s="1"/>
  <c r="AA65" i="2"/>
  <c r="AB65" i="2" s="1"/>
  <c r="W78" i="2"/>
  <c r="AA7" i="2"/>
  <c r="AA78" i="2" s="1"/>
  <c r="Z15" i="2"/>
  <c r="Z23" i="2"/>
  <c r="Z31" i="2"/>
  <c r="Z43" i="2"/>
  <c r="Z51" i="2"/>
  <c r="Z59" i="2"/>
  <c r="Z67" i="2"/>
  <c r="Z75" i="2"/>
  <c r="Y8" i="2"/>
  <c r="AB8" i="2" s="1"/>
  <c r="Y16" i="2"/>
  <c r="AB16" i="2" s="1"/>
  <c r="Y24" i="2"/>
  <c r="AB24" i="2" s="1"/>
  <c r="Y32" i="2"/>
  <c r="AB32" i="2" s="1"/>
  <c r="Y40" i="2"/>
  <c r="AB40" i="2" s="1"/>
  <c r="Y52" i="2"/>
  <c r="AB52" i="2" s="1"/>
  <c r="Y60" i="2"/>
  <c r="AB60" i="2" s="1"/>
  <c r="Y68" i="2"/>
  <c r="AB68" i="2" s="1"/>
  <c r="Y76" i="2"/>
  <c r="AB76" i="2" s="1"/>
  <c r="Y21" i="2"/>
  <c r="U78" i="2"/>
  <c r="U96" i="2" s="1"/>
  <c r="J64" i="39"/>
  <c r="J100" i="39" s="1"/>
  <c r="G67" i="39"/>
  <c r="P78" i="2"/>
  <c r="P96" i="2" s="1"/>
  <c r="H64" i="39"/>
  <c r="K15" i="4"/>
  <c r="E55" i="7"/>
  <c r="E22" i="7"/>
  <c r="K20" i="4"/>
  <c r="E8" i="7"/>
  <c r="E39" i="7"/>
  <c r="E9" i="7"/>
  <c r="K64" i="4"/>
  <c r="D33" i="5"/>
  <c r="D52" i="5"/>
  <c r="D76" i="5"/>
  <c r="K23" i="4"/>
  <c r="E71" i="7"/>
  <c r="K68" i="4"/>
  <c r="D12" i="5"/>
  <c r="K71" i="4"/>
  <c r="K28" i="4"/>
  <c r="E53" i="7"/>
  <c r="D74" i="5"/>
  <c r="D27" i="5"/>
  <c r="K49" i="4"/>
  <c r="K65" i="4"/>
  <c r="K63" i="4"/>
  <c r="D63" i="5"/>
  <c r="E10" i="7"/>
  <c r="E61" i="7"/>
  <c r="D17" i="5"/>
  <c r="E28" i="7"/>
  <c r="K32" i="4"/>
  <c r="E36" i="7"/>
  <c r="E52" i="7"/>
  <c r="D60" i="5"/>
  <c r="E76" i="7"/>
  <c r="E20" i="7"/>
  <c r="E27" i="7"/>
  <c r="K55" i="4"/>
  <c r="D9" i="5"/>
  <c r="E13" i="7"/>
  <c r="D48" i="5"/>
  <c r="E60" i="7"/>
  <c r="L90" i="4"/>
  <c r="F85" i="7"/>
  <c r="F96" i="2"/>
  <c r="D89" i="5"/>
  <c r="K22" i="4"/>
  <c r="K38" i="4"/>
  <c r="K50" i="4"/>
  <c r="K66" i="4"/>
  <c r="K14" i="4"/>
  <c r="K8" i="4"/>
  <c r="K47" i="4"/>
  <c r="K52" i="4"/>
  <c r="K54" i="4"/>
  <c r="K58" i="4"/>
  <c r="K74" i="4"/>
  <c r="K27" i="4"/>
  <c r="K59" i="4"/>
  <c r="K9" i="4"/>
  <c r="K36" i="4"/>
  <c r="K44" i="4"/>
  <c r="K56" i="4"/>
  <c r="K33" i="4"/>
  <c r="K53" i="4"/>
  <c r="K11" i="4"/>
  <c r="K19" i="4"/>
  <c r="K67" i="4"/>
  <c r="K75" i="4"/>
  <c r="K10" i="4"/>
  <c r="K61" i="4"/>
  <c r="K72" i="4"/>
  <c r="K76" i="4"/>
  <c r="K69" i="4"/>
  <c r="K26" i="4"/>
  <c r="K34" i="4"/>
  <c r="K70" i="4"/>
  <c r="K43" i="4"/>
  <c r="K29" i="4"/>
  <c r="K13" i="4"/>
  <c r="K48" i="4"/>
  <c r="K60" i="4"/>
  <c r="E88" i="7"/>
  <c r="D19" i="5"/>
  <c r="D30" i="5"/>
  <c r="D38" i="5"/>
  <c r="D50" i="5"/>
  <c r="E74" i="7"/>
  <c r="E59" i="7"/>
  <c r="E67" i="7"/>
  <c r="D75" i="5"/>
  <c r="E14" i="7"/>
  <c r="D49" i="5"/>
  <c r="D8" i="5"/>
  <c r="E23" i="7"/>
  <c r="D47" i="5"/>
  <c r="D55" i="5"/>
  <c r="D18" i="5"/>
  <c r="E86" i="7"/>
  <c r="E24" i="7"/>
  <c r="E32" i="7"/>
  <c r="D44" i="5"/>
  <c r="E44" i="7"/>
  <c r="D68" i="5"/>
  <c r="D72" i="5"/>
  <c r="D69" i="5"/>
  <c r="D84" i="5"/>
  <c r="E11" i="7"/>
  <c r="E19" i="7"/>
  <c r="D22" i="5"/>
  <c r="D26" i="5"/>
  <c r="E30" i="7"/>
  <c r="E34" i="7"/>
  <c r="E38" i="7"/>
  <c r="E46" i="7"/>
  <c r="D70" i="5"/>
  <c r="E51" i="7"/>
  <c r="D59" i="5"/>
  <c r="D67" i="5"/>
  <c r="E29" i="7"/>
  <c r="E65" i="7"/>
  <c r="E16" i="7"/>
  <c r="E63" i="7"/>
  <c r="D10" i="5"/>
  <c r="D61" i="5"/>
  <c r="E17" i="7"/>
  <c r="D28" i="5"/>
  <c r="D56" i="5"/>
  <c r="E72" i="7"/>
  <c r="D53" i="5"/>
  <c r="F31" i="7"/>
  <c r="D83" i="5"/>
  <c r="E54" i="7"/>
  <c r="D58" i="5"/>
  <c r="E66" i="7"/>
  <c r="E70" i="7"/>
  <c r="E75" i="7"/>
  <c r="D14" i="5"/>
  <c r="E49" i="7"/>
  <c r="D65" i="5"/>
  <c r="D31" i="5"/>
  <c r="D39" i="5"/>
  <c r="D71" i="5"/>
  <c r="E90" i="7"/>
  <c r="D36" i="5"/>
  <c r="D64" i="5"/>
  <c r="E33" i="7"/>
  <c r="E69" i="7"/>
  <c r="F29" i="7"/>
  <c r="D11" i="5"/>
  <c r="E26" i="7"/>
  <c r="E92" i="7"/>
  <c r="E15" i="7"/>
  <c r="D15" i="5"/>
  <c r="D34" i="5"/>
  <c r="D46" i="5"/>
  <c r="E50" i="7"/>
  <c r="D54" i="5"/>
  <c r="E58" i="7"/>
  <c r="D62" i="5"/>
  <c r="E62" i="7"/>
  <c r="D66" i="5"/>
  <c r="E83" i="7"/>
  <c r="E12" i="7"/>
  <c r="D20" i="5"/>
  <c r="D43" i="5"/>
  <c r="E43" i="7"/>
  <c r="D51" i="5"/>
  <c r="D29" i="5"/>
  <c r="D16" i="5"/>
  <c r="D23" i="5"/>
  <c r="E31" i="7"/>
  <c r="E47" i="7"/>
  <c r="E18" i="7"/>
  <c r="D13" i="5"/>
  <c r="D24" i="5"/>
  <c r="D32" i="5"/>
  <c r="E48" i="7"/>
  <c r="E56" i="7"/>
  <c r="E64" i="7"/>
  <c r="E68" i="7"/>
  <c r="F65" i="7"/>
  <c r="D91" i="5"/>
  <c r="K96" i="2"/>
  <c r="M94" i="2"/>
  <c r="J96" i="2"/>
  <c r="L96" i="2"/>
  <c r="M78" i="2"/>
  <c r="N94" i="2"/>
  <c r="N78" i="2"/>
  <c r="H67" i="39" l="1"/>
  <c r="H100" i="39" s="1"/>
  <c r="I119" i="39" s="1"/>
  <c r="AB59" i="2"/>
  <c r="AB23" i="2"/>
  <c r="AA94" i="2"/>
  <c r="AA96" i="2" s="1"/>
  <c r="AB10" i="2"/>
  <c r="AB17" i="2"/>
  <c r="Z78" i="2"/>
  <c r="AB9" i="2"/>
  <c r="Z94" i="2"/>
  <c r="Z96" i="2" s="1"/>
  <c r="W96" i="2"/>
  <c r="AB7" i="2"/>
  <c r="U100" i="2"/>
  <c r="AB75" i="2"/>
  <c r="AB43" i="2"/>
  <c r="AB62" i="2"/>
  <c r="AB30" i="2"/>
  <c r="AB73" i="2"/>
  <c r="AB37" i="2"/>
  <c r="AB81" i="2"/>
  <c r="AB94" i="2" s="1"/>
  <c r="P100" i="2"/>
  <c r="AB67" i="2"/>
  <c r="AB31" i="2"/>
  <c r="Y94" i="2"/>
  <c r="AB54" i="2"/>
  <c r="AB22" i="2"/>
  <c r="AB61" i="2"/>
  <c r="AB29" i="2"/>
  <c r="AB71" i="2"/>
  <c r="AB21" i="2"/>
  <c r="Y78" i="2"/>
  <c r="G65" i="7"/>
  <c r="M64" i="4"/>
  <c r="O64" i="4" s="1"/>
  <c r="M16" i="4"/>
  <c r="G29" i="7"/>
  <c r="M27" i="4"/>
  <c r="O27" i="4" s="1"/>
  <c r="M28" i="4"/>
  <c r="O28" i="4" s="1"/>
  <c r="J18" i="4"/>
  <c r="J30" i="4"/>
  <c r="M15" i="4"/>
  <c r="O15" i="4" s="1"/>
  <c r="M43" i="4"/>
  <c r="O43" i="4" s="1"/>
  <c r="M58" i="4"/>
  <c r="O58" i="4" s="1"/>
  <c r="M10" i="4"/>
  <c r="O10" i="4" s="1"/>
  <c r="M63" i="4"/>
  <c r="O63" i="4" s="1"/>
  <c r="J12" i="4"/>
  <c r="M34" i="4"/>
  <c r="O34" i="4" s="1"/>
  <c r="M32" i="4"/>
  <c r="O32" i="4" s="1"/>
  <c r="J24" i="4"/>
  <c r="M18" i="4"/>
  <c r="M31" i="4"/>
  <c r="J62" i="4"/>
  <c r="G31" i="7"/>
  <c r="M30" i="4"/>
  <c r="J16" i="4"/>
  <c r="M24" i="4"/>
  <c r="M61" i="4"/>
  <c r="O61" i="4" s="1"/>
  <c r="M70" i="4"/>
  <c r="O70" i="4" s="1"/>
  <c r="J39" i="4"/>
  <c r="D78" i="7"/>
  <c r="C94" i="7"/>
  <c r="C78" i="8"/>
  <c r="C96" i="8" s="1"/>
  <c r="D94" i="7"/>
  <c r="C78" i="7"/>
  <c r="M19" i="4"/>
  <c r="O19" i="4" s="1"/>
  <c r="M68" i="4"/>
  <c r="O68" i="4" s="1"/>
  <c r="M56" i="4"/>
  <c r="O56" i="4" s="1"/>
  <c r="M36" i="4"/>
  <c r="O36" i="4" s="1"/>
  <c r="M17" i="4"/>
  <c r="M14" i="4"/>
  <c r="O14" i="4" s="1"/>
  <c r="M75" i="4"/>
  <c r="O75" i="4" s="1"/>
  <c r="M20" i="4"/>
  <c r="O20" i="4" s="1"/>
  <c r="M69" i="4"/>
  <c r="O69" i="4" s="1"/>
  <c r="M60" i="4"/>
  <c r="O60" i="4" s="1"/>
  <c r="M9" i="4"/>
  <c r="O9" i="4" s="1"/>
  <c r="M39" i="4"/>
  <c r="M23" i="4"/>
  <c r="O23" i="4" s="1"/>
  <c r="M65" i="4"/>
  <c r="O65" i="4" s="1"/>
  <c r="M59" i="4"/>
  <c r="O59" i="4" s="1"/>
  <c r="M54" i="4"/>
  <c r="O54" i="4" s="1"/>
  <c r="M38" i="4"/>
  <c r="O38" i="4" s="1"/>
  <c r="M22" i="4"/>
  <c r="O22" i="4" s="1"/>
  <c r="M67" i="4"/>
  <c r="O67" i="4" s="1"/>
  <c r="M12" i="4"/>
  <c r="M66" i="4"/>
  <c r="O66" i="4" s="1"/>
  <c r="M26" i="4"/>
  <c r="O26" i="4" s="1"/>
  <c r="M11" i="4"/>
  <c r="O11" i="4" s="1"/>
  <c r="M53" i="4"/>
  <c r="O53" i="4" s="1"/>
  <c r="M33" i="4"/>
  <c r="O33" i="4" s="1"/>
  <c r="M76" i="4"/>
  <c r="O76" i="4" s="1"/>
  <c r="M72" i="4"/>
  <c r="O72" i="4" s="1"/>
  <c r="M48" i="4"/>
  <c r="O48" i="4" s="1"/>
  <c r="M44" i="4"/>
  <c r="O44" i="4" s="1"/>
  <c r="M13" i="4"/>
  <c r="O13" i="4" s="1"/>
  <c r="M71" i="4"/>
  <c r="O71" i="4" s="1"/>
  <c r="M47" i="4"/>
  <c r="O47" i="4" s="1"/>
  <c r="J31" i="4"/>
  <c r="M8" i="4"/>
  <c r="O8" i="4" s="1"/>
  <c r="M49" i="4"/>
  <c r="O49" i="4" s="1"/>
  <c r="J51" i="4"/>
  <c r="M74" i="4"/>
  <c r="O74" i="4" s="1"/>
  <c r="M62" i="4"/>
  <c r="M46" i="4"/>
  <c r="M52" i="4"/>
  <c r="O52" i="4" s="1"/>
  <c r="M55" i="4"/>
  <c r="O55" i="4" s="1"/>
  <c r="M29" i="4"/>
  <c r="O29" i="4" s="1"/>
  <c r="M50" i="4"/>
  <c r="O50" i="4" s="1"/>
  <c r="M51" i="4"/>
  <c r="J17" i="4"/>
  <c r="J46" i="4"/>
  <c r="C78" i="4"/>
  <c r="L85" i="4"/>
  <c r="D85" i="5"/>
  <c r="K24" i="4"/>
  <c r="J63" i="4"/>
  <c r="J64" i="4"/>
  <c r="J65" i="4"/>
  <c r="J33" i="4"/>
  <c r="K16" i="4"/>
  <c r="J38" i="4"/>
  <c r="J27" i="4"/>
  <c r="J60" i="4"/>
  <c r="J9" i="4"/>
  <c r="J13" i="4"/>
  <c r="K30" i="4"/>
  <c r="J58" i="4"/>
  <c r="K51" i="4"/>
  <c r="J34" i="4"/>
  <c r="J75" i="4"/>
  <c r="J70" i="4"/>
  <c r="J44" i="4"/>
  <c r="J14" i="4"/>
  <c r="K62" i="4"/>
  <c r="J52" i="4"/>
  <c r="J8" i="4"/>
  <c r="J66" i="4"/>
  <c r="J61" i="4"/>
  <c r="J28" i="4"/>
  <c r="J71" i="4"/>
  <c r="K39" i="4"/>
  <c r="J67" i="4"/>
  <c r="J11" i="4"/>
  <c r="J15" i="4"/>
  <c r="J76" i="4"/>
  <c r="J43" i="4"/>
  <c r="J59" i="4"/>
  <c r="J72" i="4"/>
  <c r="J22" i="4"/>
  <c r="K46" i="4"/>
  <c r="J10" i="4"/>
  <c r="K31" i="4"/>
  <c r="K12" i="4"/>
  <c r="J36" i="4"/>
  <c r="J23" i="4"/>
  <c r="J74" i="4"/>
  <c r="J19" i="4"/>
  <c r="J53" i="4"/>
  <c r="J68" i="4"/>
  <c r="J29" i="4"/>
  <c r="J26" i="4"/>
  <c r="K18" i="4"/>
  <c r="J69" i="4"/>
  <c r="J49" i="4"/>
  <c r="J54" i="4"/>
  <c r="J47" i="4"/>
  <c r="J50" i="4"/>
  <c r="J55" i="4"/>
  <c r="J48" i="4"/>
  <c r="J56" i="4"/>
  <c r="J20" i="4"/>
  <c r="K17" i="4"/>
  <c r="J32" i="4"/>
  <c r="K45" i="4"/>
  <c r="L83" i="4"/>
  <c r="K41" i="4"/>
  <c r="K25" i="4"/>
  <c r="L84" i="4"/>
  <c r="L92" i="4"/>
  <c r="L82" i="4"/>
  <c r="L88" i="4"/>
  <c r="L89" i="4"/>
  <c r="K21" i="4"/>
  <c r="K73" i="4"/>
  <c r="L80" i="4"/>
  <c r="K42" i="4"/>
  <c r="L91" i="4"/>
  <c r="L81" i="4"/>
  <c r="L86" i="4"/>
  <c r="L87" i="4"/>
  <c r="F48" i="7"/>
  <c r="G48" i="7" s="1"/>
  <c r="D57" i="5"/>
  <c r="E89" i="7"/>
  <c r="F60" i="7"/>
  <c r="G60" i="7" s="1"/>
  <c r="F28" i="7"/>
  <c r="G28" i="7" s="1"/>
  <c r="E21" i="7"/>
  <c r="F13" i="7"/>
  <c r="G13" i="7" s="1"/>
  <c r="F58" i="7"/>
  <c r="G58" i="7" s="1"/>
  <c r="F26" i="7"/>
  <c r="G26" i="7" s="1"/>
  <c r="F40" i="7"/>
  <c r="E37" i="7"/>
  <c r="F66" i="7"/>
  <c r="G66" i="7" s="1"/>
  <c r="E40" i="7"/>
  <c r="F49" i="7"/>
  <c r="G49" i="7" s="1"/>
  <c r="F41" i="7"/>
  <c r="F90" i="7"/>
  <c r="G90" i="7" s="1"/>
  <c r="F25" i="7"/>
  <c r="D90" i="5"/>
  <c r="F16" i="7"/>
  <c r="G16" i="7" s="1"/>
  <c r="F47" i="7"/>
  <c r="G47" i="7" s="1"/>
  <c r="D82" i="5"/>
  <c r="F84" i="7"/>
  <c r="F51" i="7"/>
  <c r="G51" i="7" s="1"/>
  <c r="D80" i="5"/>
  <c r="F20" i="7"/>
  <c r="G20" i="7" s="1"/>
  <c r="F55" i="7"/>
  <c r="G55" i="7" s="1"/>
  <c r="E57" i="7"/>
  <c r="F70" i="7"/>
  <c r="G70" i="7" s="1"/>
  <c r="F76" i="7"/>
  <c r="G76" i="7" s="1"/>
  <c r="F42" i="7"/>
  <c r="F36" i="7"/>
  <c r="G36" i="7" s="1"/>
  <c r="F56" i="7"/>
  <c r="G56" i="7" s="1"/>
  <c r="F9" i="7"/>
  <c r="G9" i="7" s="1"/>
  <c r="F86" i="7"/>
  <c r="G86" i="7" s="1"/>
  <c r="F8" i="7"/>
  <c r="G8" i="7" s="1"/>
  <c r="F53" i="7"/>
  <c r="G53" i="7" s="1"/>
  <c r="F37" i="7"/>
  <c r="F75" i="7"/>
  <c r="G75" i="7" s="1"/>
  <c r="F23" i="7"/>
  <c r="G23" i="7" s="1"/>
  <c r="F27" i="7"/>
  <c r="G27" i="7" s="1"/>
  <c r="D88" i="5"/>
  <c r="F88" i="7"/>
  <c r="G88" i="7" s="1"/>
  <c r="F92" i="7"/>
  <c r="G92" i="7" s="1"/>
  <c r="F12" i="7"/>
  <c r="G12" i="7" s="1"/>
  <c r="F61" i="7"/>
  <c r="G61" i="7" s="1"/>
  <c r="F14" i="7"/>
  <c r="G14" i="7" s="1"/>
  <c r="E45" i="7"/>
  <c r="F91" i="7"/>
  <c r="D87" i="5"/>
  <c r="F89" i="7"/>
  <c r="D81" i="5"/>
  <c r="F64" i="7"/>
  <c r="G64" i="7" s="1"/>
  <c r="F32" i="7"/>
  <c r="G32" i="7" s="1"/>
  <c r="F17" i="7"/>
  <c r="G17" i="7" s="1"/>
  <c r="F62" i="7"/>
  <c r="G62" i="7" s="1"/>
  <c r="F30" i="7"/>
  <c r="G30" i="7" s="1"/>
  <c r="F15" i="7"/>
  <c r="G15" i="7" s="1"/>
  <c r="D21" i="5"/>
  <c r="F38" i="7"/>
  <c r="G38" i="7" s="1"/>
  <c r="F44" i="7"/>
  <c r="G44" i="7" s="1"/>
  <c r="E41" i="7"/>
  <c r="D41" i="5"/>
  <c r="F72" i="7"/>
  <c r="G72" i="7" s="1"/>
  <c r="E25" i="7"/>
  <c r="G25" i="7" s="1"/>
  <c r="E85" i="7"/>
  <c r="G85" i="7" s="1"/>
  <c r="F68" i="7"/>
  <c r="G68" i="7" s="1"/>
  <c r="F52" i="7"/>
  <c r="G52" i="7" s="1"/>
  <c r="E73" i="7"/>
  <c r="D73" i="5"/>
  <c r="D37" i="5"/>
  <c r="F50" i="7"/>
  <c r="G50" i="7" s="1"/>
  <c r="F34" i="7"/>
  <c r="G34" i="7" s="1"/>
  <c r="F54" i="7"/>
  <c r="G54" i="7" s="1"/>
  <c r="F22" i="7"/>
  <c r="G22" i="7" s="1"/>
  <c r="F18" i="7"/>
  <c r="G18" i="7" s="1"/>
  <c r="F69" i="7"/>
  <c r="G69" i="7" s="1"/>
  <c r="F33" i="7"/>
  <c r="G33" i="7" s="1"/>
  <c r="F71" i="7"/>
  <c r="G71" i="7" s="1"/>
  <c r="F10" i="7"/>
  <c r="G10" i="7" s="1"/>
  <c r="F82" i="7"/>
  <c r="F73" i="7"/>
  <c r="F43" i="7"/>
  <c r="G43" i="7" s="1"/>
  <c r="F45" i="7"/>
  <c r="G45" i="7" s="1"/>
  <c r="D45" i="5"/>
  <c r="D92" i="5"/>
  <c r="D42" i="5"/>
  <c r="F87" i="7"/>
  <c r="F83" i="7"/>
  <c r="G83" i="7" s="1"/>
  <c r="E82" i="7"/>
  <c r="E84" i="7"/>
  <c r="F46" i="7"/>
  <c r="G46" i="7" s="1"/>
  <c r="E87" i="7"/>
  <c r="F74" i="7"/>
  <c r="G74" i="7" s="1"/>
  <c r="F11" i="7"/>
  <c r="G11" i="7" s="1"/>
  <c r="F24" i="7"/>
  <c r="G24" i="7" s="1"/>
  <c r="D25" i="5"/>
  <c r="E35" i="7"/>
  <c r="D35" i="5"/>
  <c r="E91" i="7"/>
  <c r="F19" i="7"/>
  <c r="G19" i="7" s="1"/>
  <c r="D40" i="5"/>
  <c r="F59" i="7"/>
  <c r="G59" i="7" s="1"/>
  <c r="D86" i="5"/>
  <c r="F39" i="7"/>
  <c r="G39" i="7" s="1"/>
  <c r="F57" i="7"/>
  <c r="F63" i="7"/>
  <c r="G63" i="7" s="1"/>
  <c r="F80" i="7"/>
  <c r="F35" i="7"/>
  <c r="F21" i="7"/>
  <c r="F67" i="7"/>
  <c r="G67" i="7" s="1"/>
  <c r="E42" i="7"/>
  <c r="E81" i="7"/>
  <c r="F81" i="7"/>
  <c r="G89" i="7"/>
  <c r="M96" i="2"/>
  <c r="D7" i="5"/>
  <c r="F7" i="7"/>
  <c r="E7" i="7"/>
  <c r="K37" i="4"/>
  <c r="E80" i="7"/>
  <c r="D94" i="8"/>
  <c r="D96" i="8" s="1"/>
  <c r="C94" i="6"/>
  <c r="C96" i="6" s="1"/>
  <c r="N96" i="2"/>
  <c r="I121" i="39" l="1"/>
  <c r="G21" i="7"/>
  <c r="Y96" i="2"/>
  <c r="X100" i="2" s="1"/>
  <c r="AB78" i="2"/>
  <c r="AB96" i="2" s="1"/>
  <c r="O24" i="4"/>
  <c r="D10" i="6"/>
  <c r="D14" i="6"/>
  <c r="D18" i="6"/>
  <c r="D21" i="6"/>
  <c r="D25" i="6"/>
  <c r="D29" i="6"/>
  <c r="D33" i="6"/>
  <c r="D37" i="6"/>
  <c r="D41" i="6"/>
  <c r="D45" i="6"/>
  <c r="D49" i="6"/>
  <c r="D53" i="6"/>
  <c r="D57" i="6"/>
  <c r="D61" i="6"/>
  <c r="D65" i="6"/>
  <c r="D69" i="6"/>
  <c r="D73" i="6"/>
  <c r="D7" i="6"/>
  <c r="D15" i="6"/>
  <c r="D19" i="6"/>
  <c r="D22" i="6"/>
  <c r="D26" i="6"/>
  <c r="D34" i="6"/>
  <c r="D38" i="6"/>
  <c r="D42" i="6"/>
  <c r="D50" i="6"/>
  <c r="D58" i="6"/>
  <c r="D62" i="6"/>
  <c r="D70" i="6"/>
  <c r="D12" i="6"/>
  <c r="D20" i="6"/>
  <c r="D27" i="6"/>
  <c r="D39" i="6"/>
  <c r="D51" i="6"/>
  <c r="D63" i="6"/>
  <c r="D71" i="6"/>
  <c r="D11" i="6"/>
  <c r="D30" i="6"/>
  <c r="D46" i="6"/>
  <c r="D54" i="6"/>
  <c r="D66" i="6"/>
  <c r="D74" i="6"/>
  <c r="D16" i="6"/>
  <c r="D23" i="6"/>
  <c r="D31" i="6"/>
  <c r="D35" i="6"/>
  <c r="D43" i="6"/>
  <c r="D47" i="6"/>
  <c r="D55" i="6"/>
  <c r="D59" i="6"/>
  <c r="D67" i="6"/>
  <c r="D75" i="6"/>
  <c r="D8" i="6"/>
  <c r="D9" i="6"/>
  <c r="D13" i="6"/>
  <c r="D17" i="6"/>
  <c r="D24" i="6"/>
  <c r="D28" i="6"/>
  <c r="D32" i="6"/>
  <c r="D36" i="6"/>
  <c r="D40" i="6"/>
  <c r="D44" i="6"/>
  <c r="D48" i="6"/>
  <c r="D52" i="6"/>
  <c r="D56" i="6"/>
  <c r="D60" i="6"/>
  <c r="D64" i="6"/>
  <c r="D68" i="6"/>
  <c r="D72" i="6"/>
  <c r="D76" i="6"/>
  <c r="D88" i="6"/>
  <c r="D89" i="6"/>
  <c r="D92" i="6"/>
  <c r="D83" i="6"/>
  <c r="D85" i="6"/>
  <c r="D91" i="6"/>
  <c r="D90" i="6"/>
  <c r="D82" i="6"/>
  <c r="D84" i="6"/>
  <c r="D80" i="6"/>
  <c r="D87" i="6"/>
  <c r="D86" i="6"/>
  <c r="D81" i="6"/>
  <c r="O16" i="4"/>
  <c r="O30" i="4"/>
  <c r="G37" i="7"/>
  <c r="O18" i="4"/>
  <c r="O31" i="4"/>
  <c r="N86" i="4"/>
  <c r="O86" i="4" s="1"/>
  <c r="G35" i="7"/>
  <c r="G73" i="7"/>
  <c r="G40" i="7"/>
  <c r="O51" i="4"/>
  <c r="G84" i="7"/>
  <c r="O17" i="4"/>
  <c r="O12" i="4"/>
  <c r="O39" i="4"/>
  <c r="G42" i="7"/>
  <c r="G91" i="7"/>
  <c r="N84" i="4"/>
  <c r="O84" i="4" s="1"/>
  <c r="J41" i="4"/>
  <c r="M35" i="4"/>
  <c r="N80" i="4"/>
  <c r="O80" i="4" s="1"/>
  <c r="G87" i="7"/>
  <c r="N82" i="4"/>
  <c r="O82" i="4" s="1"/>
  <c r="J40" i="4"/>
  <c r="M37" i="4"/>
  <c r="O37" i="4" s="1"/>
  <c r="J35" i="4"/>
  <c r="M41" i="4"/>
  <c r="O41" i="4" s="1"/>
  <c r="G41" i="7"/>
  <c r="O46" i="4"/>
  <c r="M45" i="4"/>
  <c r="O45" i="4" s="1"/>
  <c r="N83" i="4"/>
  <c r="O83" i="4" s="1"/>
  <c r="J57" i="4"/>
  <c r="N89" i="4"/>
  <c r="O89" i="4" s="1"/>
  <c r="N87" i="4"/>
  <c r="O87" i="4" s="1"/>
  <c r="N91" i="4"/>
  <c r="O91" i="4" s="1"/>
  <c r="M40" i="4"/>
  <c r="F94" i="7"/>
  <c r="G57" i="7"/>
  <c r="D96" i="7"/>
  <c r="G81" i="7"/>
  <c r="G82" i="7"/>
  <c r="D78" i="4"/>
  <c r="C94" i="4"/>
  <c r="E78" i="7"/>
  <c r="E94" i="7"/>
  <c r="C96" i="7"/>
  <c r="O62" i="4"/>
  <c r="J45" i="4"/>
  <c r="M42" i="4"/>
  <c r="O42" i="4" s="1"/>
  <c r="N88" i="4"/>
  <c r="O88" i="4" s="1"/>
  <c r="M25" i="4"/>
  <c r="O25" i="4" s="1"/>
  <c r="E94" i="4"/>
  <c r="E78" i="4"/>
  <c r="J85" i="4"/>
  <c r="N92" i="4"/>
  <c r="O92" i="4" s="1"/>
  <c r="N90" i="4"/>
  <c r="O90" i="4" s="1"/>
  <c r="M73" i="4"/>
  <c r="O73" i="4" s="1"/>
  <c r="M21" i="4"/>
  <c r="O21" i="4" s="1"/>
  <c r="J37" i="4"/>
  <c r="M57" i="4"/>
  <c r="J21" i="4"/>
  <c r="J90" i="4"/>
  <c r="J42" i="4"/>
  <c r="F78" i="4"/>
  <c r="N85" i="4"/>
  <c r="O85" i="4" s="1"/>
  <c r="G94" i="4"/>
  <c r="I78" i="4"/>
  <c r="F94" i="4"/>
  <c r="D94" i="4"/>
  <c r="H78" i="4"/>
  <c r="H94" i="4"/>
  <c r="N81" i="4"/>
  <c r="O81" i="4" s="1"/>
  <c r="G78" i="4"/>
  <c r="I94" i="4"/>
  <c r="K40" i="4"/>
  <c r="K7" i="4"/>
  <c r="J92" i="4"/>
  <c r="J73" i="4"/>
  <c r="K35" i="4"/>
  <c r="C78" i="5"/>
  <c r="J83" i="4"/>
  <c r="J84" i="4"/>
  <c r="J86" i="4"/>
  <c r="J80" i="4"/>
  <c r="J88" i="4"/>
  <c r="J81" i="4"/>
  <c r="J82" i="4"/>
  <c r="L94" i="4"/>
  <c r="L96" i="4" s="1"/>
  <c r="J91" i="4"/>
  <c r="J89" i="4"/>
  <c r="J87" i="4"/>
  <c r="J25" i="4"/>
  <c r="K57" i="4"/>
  <c r="C94" i="5"/>
  <c r="D94" i="5"/>
  <c r="G80" i="7"/>
  <c r="F78" i="7"/>
  <c r="G7" i="7"/>
  <c r="D78" i="5"/>
  <c r="C96" i="4" l="1"/>
  <c r="D94" i="6"/>
  <c r="D78" i="6"/>
  <c r="E91" i="8"/>
  <c r="E9" i="8"/>
  <c r="E38" i="8"/>
  <c r="E52" i="8"/>
  <c r="E54" i="8"/>
  <c r="E57" i="8"/>
  <c r="E65" i="8"/>
  <c r="E70" i="8"/>
  <c r="E75" i="8"/>
  <c r="E73" i="8"/>
  <c r="E48" i="8"/>
  <c r="E81" i="8"/>
  <c r="E83" i="8"/>
  <c r="E85" i="8"/>
  <c r="E87" i="8"/>
  <c r="E89" i="8"/>
  <c r="E80" i="8"/>
  <c r="E13" i="8"/>
  <c r="E16" i="8"/>
  <c r="E18" i="8"/>
  <c r="E20" i="8"/>
  <c r="E21" i="8"/>
  <c r="E23" i="8"/>
  <c r="E25" i="8"/>
  <c r="E27" i="8"/>
  <c r="E29" i="8"/>
  <c r="E31" i="8"/>
  <c r="E36" i="8"/>
  <c r="E41" i="8"/>
  <c r="E43" i="8"/>
  <c r="E45" i="8"/>
  <c r="E60" i="8"/>
  <c r="E51" i="8"/>
  <c r="E92" i="8"/>
  <c r="E8" i="8"/>
  <c r="E34" i="8"/>
  <c r="E69" i="8"/>
  <c r="E82" i="8"/>
  <c r="E84" i="8"/>
  <c r="E86" i="8"/>
  <c r="E88" i="8"/>
  <c r="E90" i="8"/>
  <c r="E17" i="8"/>
  <c r="E19" i="8"/>
  <c r="E22" i="8"/>
  <c r="E24" i="8"/>
  <c r="E26" i="8"/>
  <c r="E28" i="8"/>
  <c r="E30" i="8"/>
  <c r="E32" i="8"/>
  <c r="E40" i="8"/>
  <c r="E42" i="8"/>
  <c r="E44" i="8"/>
  <c r="E46" i="8"/>
  <c r="E59" i="8"/>
  <c r="E61" i="8"/>
  <c r="E72" i="8"/>
  <c r="E53" i="8"/>
  <c r="E66" i="8"/>
  <c r="E76" i="8"/>
  <c r="E55" i="8"/>
  <c r="E10" i="8"/>
  <c r="E67" i="8"/>
  <c r="E71" i="8"/>
  <c r="E14" i="8"/>
  <c r="E35" i="8"/>
  <c r="E74" i="8"/>
  <c r="E58" i="8"/>
  <c r="E11" i="8"/>
  <c r="E7" i="8"/>
  <c r="E33" i="8"/>
  <c r="E63" i="8"/>
  <c r="E47" i="8"/>
  <c r="E62" i="8"/>
  <c r="E50" i="8"/>
  <c r="E15" i="8"/>
  <c r="E56" i="8"/>
  <c r="E39" i="8"/>
  <c r="E12" i="8"/>
  <c r="E68" i="8"/>
  <c r="E64" i="8"/>
  <c r="E49" i="8"/>
  <c r="E37" i="8"/>
  <c r="O35" i="4"/>
  <c r="F96" i="7"/>
  <c r="E96" i="7"/>
  <c r="O40" i="4"/>
  <c r="O57" i="4"/>
  <c r="E96" i="4"/>
  <c r="N94" i="4"/>
  <c r="N96" i="4" s="1"/>
  <c r="D96" i="4"/>
  <c r="G96" i="4"/>
  <c r="F96" i="4"/>
  <c r="H96" i="4"/>
  <c r="I96" i="4"/>
  <c r="K78" i="4"/>
  <c r="K96" i="4" s="1"/>
  <c r="C96" i="5"/>
  <c r="J94" i="4"/>
  <c r="D96" i="5"/>
  <c r="G94" i="7"/>
  <c r="O94" i="4"/>
  <c r="G78" i="7"/>
  <c r="D96" i="6" l="1"/>
  <c r="F82" i="8"/>
  <c r="G82" i="8" s="1"/>
  <c r="F84" i="8"/>
  <c r="G84" i="8" s="1"/>
  <c r="F86" i="8"/>
  <c r="G86" i="8" s="1"/>
  <c r="F88" i="8"/>
  <c r="G88" i="8" s="1"/>
  <c r="F80" i="8"/>
  <c r="F12" i="8"/>
  <c r="G12" i="8" s="1"/>
  <c r="F15" i="8"/>
  <c r="G15" i="8" s="1"/>
  <c r="F17" i="8"/>
  <c r="G17" i="8" s="1"/>
  <c r="F19" i="8"/>
  <c r="G19" i="8" s="1"/>
  <c r="F22" i="8"/>
  <c r="G22" i="8" s="1"/>
  <c r="F24" i="8"/>
  <c r="G24" i="8" s="1"/>
  <c r="F26" i="8"/>
  <c r="G26" i="8" s="1"/>
  <c r="F28" i="8"/>
  <c r="G28" i="8" s="1"/>
  <c r="F30" i="8"/>
  <c r="G30" i="8" s="1"/>
  <c r="F32" i="8"/>
  <c r="G32" i="8" s="1"/>
  <c r="F35" i="8"/>
  <c r="G35" i="8" s="1"/>
  <c r="F40" i="8"/>
  <c r="G40" i="8" s="1"/>
  <c r="F42" i="8"/>
  <c r="G42" i="8" s="1"/>
  <c r="F44" i="8"/>
  <c r="G44" i="8" s="1"/>
  <c r="F46" i="8"/>
  <c r="G46" i="8" s="1"/>
  <c r="F49" i="8"/>
  <c r="G49" i="8" s="1"/>
  <c r="F59" i="8"/>
  <c r="G59" i="8" s="1"/>
  <c r="F61" i="8"/>
  <c r="G61" i="8" s="1"/>
  <c r="F67" i="8"/>
  <c r="G67" i="8" s="1"/>
  <c r="F72" i="8"/>
  <c r="G72" i="8" s="1"/>
  <c r="F7" i="8"/>
  <c r="F65" i="8"/>
  <c r="G65" i="8" s="1"/>
  <c r="F58" i="8"/>
  <c r="G58" i="8" s="1"/>
  <c r="F63" i="8"/>
  <c r="G63" i="8" s="1"/>
  <c r="F73" i="8"/>
  <c r="G73" i="8" s="1"/>
  <c r="F91" i="8"/>
  <c r="G91" i="8" s="1"/>
  <c r="F9" i="8"/>
  <c r="G9" i="8" s="1"/>
  <c r="F33" i="8"/>
  <c r="G33" i="8" s="1"/>
  <c r="F38" i="8"/>
  <c r="G38" i="8" s="1"/>
  <c r="F47" i="8"/>
  <c r="G47" i="8" s="1"/>
  <c r="F50" i="8"/>
  <c r="G50" i="8" s="1"/>
  <c r="F52" i="8"/>
  <c r="G52" i="8" s="1"/>
  <c r="F54" i="8"/>
  <c r="G54" i="8" s="1"/>
  <c r="F57" i="8"/>
  <c r="G57" i="8" s="1"/>
  <c r="F62" i="8"/>
  <c r="G62" i="8" s="1"/>
  <c r="F68" i="8"/>
  <c r="G68" i="8" s="1"/>
  <c r="F70" i="8"/>
  <c r="G70" i="8" s="1"/>
  <c r="F75" i="8"/>
  <c r="G75" i="8" s="1"/>
  <c r="F60" i="8"/>
  <c r="G60" i="8" s="1"/>
  <c r="F71" i="8"/>
  <c r="G71" i="8" s="1"/>
  <c r="F81" i="8"/>
  <c r="G81" i="8" s="1"/>
  <c r="F83" i="8"/>
  <c r="G83" i="8" s="1"/>
  <c r="F85" i="8"/>
  <c r="G85" i="8" s="1"/>
  <c r="F87" i="8"/>
  <c r="G87" i="8" s="1"/>
  <c r="F89" i="8"/>
  <c r="G89" i="8" s="1"/>
  <c r="F10" i="8"/>
  <c r="G10" i="8" s="1"/>
  <c r="F13" i="8"/>
  <c r="G13" i="8" s="1"/>
  <c r="F16" i="8"/>
  <c r="G16" i="8" s="1"/>
  <c r="F18" i="8"/>
  <c r="G18" i="8" s="1"/>
  <c r="F20" i="8"/>
  <c r="G20" i="8" s="1"/>
  <c r="F21" i="8"/>
  <c r="G21" i="8" s="1"/>
  <c r="F23" i="8"/>
  <c r="G23" i="8" s="1"/>
  <c r="F25" i="8"/>
  <c r="G25" i="8" s="1"/>
  <c r="F27" i="8"/>
  <c r="G27" i="8" s="1"/>
  <c r="F29" i="8"/>
  <c r="G29" i="8" s="1"/>
  <c r="F31" i="8"/>
  <c r="G31" i="8" s="1"/>
  <c r="F36" i="8"/>
  <c r="G36" i="8" s="1"/>
  <c r="F39" i="8"/>
  <c r="G39" i="8" s="1"/>
  <c r="F41" i="8"/>
  <c r="G41" i="8" s="1"/>
  <c r="F43" i="8"/>
  <c r="G43" i="8" s="1"/>
  <c r="F45" i="8"/>
  <c r="G45" i="8" s="1"/>
  <c r="F55" i="8"/>
  <c r="G55" i="8" s="1"/>
  <c r="F92" i="8"/>
  <c r="G92" i="8" s="1"/>
  <c r="F8" i="8"/>
  <c r="G8" i="8" s="1"/>
  <c r="F11" i="8"/>
  <c r="G11" i="8" s="1"/>
  <c r="F14" i="8"/>
  <c r="G14" i="8" s="1"/>
  <c r="F34" i="8"/>
  <c r="G34" i="8" s="1"/>
  <c r="F37" i="8"/>
  <c r="G37" i="8" s="1"/>
  <c r="F48" i="8"/>
  <c r="G48" i="8" s="1"/>
  <c r="F51" i="8"/>
  <c r="G51" i="8" s="1"/>
  <c r="F53" i="8"/>
  <c r="G53" i="8" s="1"/>
  <c r="F56" i="8"/>
  <c r="G56" i="8" s="1"/>
  <c r="F64" i="8"/>
  <c r="G64" i="8" s="1"/>
  <c r="F66" i="8"/>
  <c r="G66" i="8" s="1"/>
  <c r="F69" i="8"/>
  <c r="G69" i="8" s="1"/>
  <c r="F74" i="8"/>
  <c r="G74" i="8" s="1"/>
  <c r="F76" i="8"/>
  <c r="G76" i="8" s="1"/>
  <c r="F90" i="8"/>
  <c r="G90" i="8" s="1"/>
  <c r="E94" i="8"/>
  <c r="E78" i="8"/>
  <c r="G96" i="7"/>
  <c r="F78" i="8" l="1"/>
  <c r="G7" i="8"/>
  <c r="E96" i="8"/>
  <c r="G80" i="8"/>
  <c r="F94" i="8"/>
  <c r="F96" i="8" l="1"/>
  <c r="G94" i="8"/>
  <c r="G78" i="8"/>
  <c r="G96" i="8" l="1"/>
  <c r="N90" i="17" l="1"/>
  <c r="P90" i="17" l="1"/>
  <c r="O90" i="17" l="1"/>
  <c r="N74" i="17"/>
  <c r="N92" i="17" s="1"/>
  <c r="O74" i="17" l="1"/>
  <c r="O92" i="17" s="1"/>
  <c r="P74" i="17"/>
  <c r="P92" i="17" s="1"/>
  <c r="J7" i="4" l="1"/>
  <c r="J78" i="4" s="1"/>
  <c r="J96" i="4" s="1"/>
  <c r="M7" i="4"/>
  <c r="M78" i="4" s="1"/>
  <c r="M96" i="4" s="1"/>
  <c r="O7" i="4" l="1"/>
  <c r="O78" i="4" l="1"/>
  <c r="O96" i="4" s="1"/>
  <c r="U130" i="32" l="1"/>
  <c r="S132" i="32"/>
  <c r="S134" i="32" l="1"/>
  <c r="S143" i="32" s="1"/>
  <c r="U132" i="32"/>
  <c r="S136" i="32" l="1"/>
</calcChain>
</file>

<file path=xl/comments1.xml><?xml version="1.0" encoding="utf-8"?>
<comments xmlns="http://schemas.openxmlformats.org/spreadsheetml/2006/main">
  <authors>
    <author>Goodacre, Kelly</author>
  </authors>
  <commentList>
    <comment ref="X82" authorId="0">
      <text>
        <r>
          <rPr>
            <b/>
            <sz val="9"/>
            <color indexed="81"/>
            <rFont val="Tahoma"/>
            <family val="2"/>
          </rPr>
          <t>Goodacre, Kelly:</t>
        </r>
        <r>
          <rPr>
            <sz val="9"/>
            <color indexed="81"/>
            <rFont val="Tahoma"/>
            <family val="2"/>
          </rPr>
          <t xml:space="preserve">
excludes Horizons funding.</t>
        </r>
      </text>
    </comment>
  </commentList>
</comments>
</file>

<file path=xl/comments2.xml><?xml version="1.0" encoding="utf-8"?>
<comments xmlns="http://schemas.openxmlformats.org/spreadsheetml/2006/main">
  <authors>
    <author>Wain, Jocelyn</author>
  </authors>
  <commentList>
    <comment ref="E1" authorId="0">
      <text>
        <r>
          <rPr>
            <b/>
            <sz val="9"/>
            <color indexed="81"/>
            <rFont val="Tahoma"/>
            <family val="2"/>
          </rPr>
          <t>Wain, Jocelyn:</t>
        </r>
        <r>
          <rPr>
            <sz val="9"/>
            <color indexed="81"/>
            <rFont val="Tahoma"/>
            <family val="2"/>
          </rPr>
          <t xml:space="preserve">
Funding level for Mobility by phase, less 14/15 formul divided by no of pupils
</t>
        </r>
      </text>
    </comment>
  </commentList>
</comments>
</file>

<file path=xl/comments3.xml><?xml version="1.0" encoding="utf-8"?>
<comments xmlns="http://schemas.openxmlformats.org/spreadsheetml/2006/main">
  <authors>
    <author>Wain, Jocelyn</author>
  </authors>
  <commentList>
    <comment ref="R1" authorId="0">
      <text>
        <r>
          <rPr>
            <b/>
            <sz val="9"/>
            <color indexed="81"/>
            <rFont val="Tahoma"/>
            <family val="2"/>
          </rPr>
          <t>Wain, Jocelyn:</t>
        </r>
        <r>
          <rPr>
            <sz val="9"/>
            <color indexed="81"/>
            <rFont val="Tahoma"/>
            <family val="2"/>
          </rPr>
          <t xml:space="preserve">
Original</t>
        </r>
      </text>
    </comment>
    <comment ref="T1" authorId="0">
      <text>
        <r>
          <rPr>
            <b/>
            <sz val="9"/>
            <color indexed="81"/>
            <rFont val="Tahoma"/>
            <family val="2"/>
          </rPr>
          <t>Wain, Jocelyn:</t>
        </r>
        <r>
          <rPr>
            <sz val="9"/>
            <color indexed="81"/>
            <rFont val="Tahoma"/>
            <family val="2"/>
          </rPr>
          <t xml:space="preserve">
Balance of mobility funding to AWPU</t>
        </r>
      </text>
    </comment>
    <comment ref="R3" authorId="0">
      <text>
        <r>
          <rPr>
            <b/>
            <sz val="9"/>
            <color indexed="81"/>
            <rFont val="Tahoma"/>
            <family val="2"/>
          </rPr>
          <t>Wain, Jocelyn:</t>
        </r>
        <r>
          <rPr>
            <sz val="9"/>
            <color indexed="81"/>
            <rFont val="Tahoma"/>
            <family val="2"/>
          </rPr>
          <t xml:space="preserve">
Original</t>
        </r>
      </text>
    </comment>
    <comment ref="T3" authorId="0">
      <text>
        <r>
          <rPr>
            <b/>
            <sz val="9"/>
            <color indexed="81"/>
            <rFont val="Tahoma"/>
            <family val="2"/>
          </rPr>
          <t>Wain, Jocelyn:</t>
        </r>
        <r>
          <rPr>
            <sz val="9"/>
            <color indexed="81"/>
            <rFont val="Tahoma"/>
            <family val="2"/>
          </rPr>
          <t xml:space="preserve">
Balance of mobility funding to AWPU</t>
        </r>
      </text>
    </comment>
    <comment ref="R4" authorId="0">
      <text>
        <r>
          <rPr>
            <b/>
            <sz val="9"/>
            <color indexed="81"/>
            <rFont val="Tahoma"/>
            <family val="2"/>
          </rPr>
          <t>Wain, Jocelyn:</t>
        </r>
        <r>
          <rPr>
            <sz val="9"/>
            <color indexed="81"/>
            <rFont val="Tahoma"/>
            <family val="2"/>
          </rPr>
          <t xml:space="preserve">
Original</t>
        </r>
      </text>
    </comment>
    <comment ref="T4" authorId="0">
      <text>
        <r>
          <rPr>
            <b/>
            <sz val="9"/>
            <color indexed="81"/>
            <rFont val="Tahoma"/>
            <family val="2"/>
          </rPr>
          <t>Wain, Jocelyn:</t>
        </r>
        <r>
          <rPr>
            <sz val="9"/>
            <color indexed="81"/>
            <rFont val="Tahoma"/>
            <family val="2"/>
          </rPr>
          <t xml:space="preserve">
Balance of Mobility Funding to AWPU</t>
        </r>
      </text>
    </comment>
  </commentList>
</comments>
</file>

<file path=xl/comments4.xml><?xml version="1.0" encoding="utf-8"?>
<comments xmlns="http://schemas.openxmlformats.org/spreadsheetml/2006/main">
  <authors>
    <author>Wain, Jocelyn</author>
  </authors>
  <commentList>
    <comment ref="AE9" authorId="0">
      <text>
        <r>
          <rPr>
            <b/>
            <sz val="9"/>
            <color indexed="81"/>
            <rFont val="Tahoma"/>
            <family val="2"/>
          </rPr>
          <t>Wain, Jocelyn:</t>
        </r>
        <r>
          <rPr>
            <sz val="9"/>
            <color indexed="81"/>
            <rFont val="Tahoma"/>
            <family val="2"/>
          </rPr>
          <t xml:space="preserve">
Keep funding level at £740k</t>
        </r>
      </text>
    </comment>
    <comment ref="AB14" authorId="0">
      <text>
        <r>
          <rPr>
            <b/>
            <sz val="9"/>
            <color indexed="81"/>
            <rFont val="Tahoma"/>
            <family val="2"/>
          </rPr>
          <t>Wain, Jocelyn:</t>
        </r>
        <r>
          <rPr>
            <sz val="9"/>
            <color indexed="81"/>
            <rFont val="Tahoma"/>
            <family val="2"/>
          </rPr>
          <t xml:space="preserve">
Funding for Mobility teacher - also used at Markeaton and Central Nursery. Increased from £20k to £25k as requested by St Bens</t>
        </r>
      </text>
    </comment>
  </commentList>
</comments>
</file>

<file path=xl/comments5.xml><?xml version="1.0" encoding="utf-8"?>
<comments xmlns="http://schemas.openxmlformats.org/spreadsheetml/2006/main">
  <authors>
    <author>Al Appleby</author>
    <author>Goodacre, Kelly</author>
  </authors>
  <commentList>
    <comment ref="E5" authorId="0">
      <text>
        <r>
          <rPr>
            <b/>
            <sz val="8"/>
            <color indexed="81"/>
            <rFont val="Tahoma"/>
            <family val="2"/>
          </rPr>
          <t>Al Appleby:</t>
        </r>
        <r>
          <rPr>
            <sz val="8"/>
            <color indexed="81"/>
            <rFont val="Tahoma"/>
            <family val="2"/>
          </rPr>
          <t xml:space="preserve">
Places times 38 weeks
</t>
        </r>
      </text>
    </comment>
    <comment ref="F5" authorId="0">
      <text>
        <r>
          <rPr>
            <b/>
            <sz val="8"/>
            <color indexed="81"/>
            <rFont val="Tahoma"/>
            <family val="2"/>
          </rPr>
          <t>Al Appleby:</t>
        </r>
        <r>
          <rPr>
            <sz val="8"/>
            <color indexed="81"/>
            <rFont val="Tahoma"/>
            <family val="2"/>
          </rPr>
          <t xml:space="preserve">
Places times 30 for two 15 hr sessions per week</t>
        </r>
      </text>
    </comment>
    <comment ref="N5" authorId="1">
      <text>
        <r>
          <rPr>
            <b/>
            <sz val="9"/>
            <color indexed="81"/>
            <rFont val="Tahoma"/>
            <family val="2"/>
          </rPr>
          <t>Goodacre, Kelly:</t>
        </r>
        <r>
          <rPr>
            <sz val="9"/>
            <color indexed="81"/>
            <rFont val="Tahoma"/>
            <family val="2"/>
          </rPr>
          <t xml:space="preserve">
All on 3.605 minimum hourly rate from 13-14</t>
        </r>
      </text>
    </comment>
    <comment ref="Y5" authorId="0">
      <text>
        <r>
          <rPr>
            <b/>
            <sz val="8"/>
            <color indexed="81"/>
            <rFont val="Tahoma"/>
            <family val="2"/>
          </rPr>
          <t>Al Appleby:</t>
        </r>
        <r>
          <rPr>
            <sz val="8"/>
            <color indexed="81"/>
            <rFont val="Tahoma"/>
            <family val="2"/>
          </rPr>
          <t xml:space="preserve">
For Nurseries with ERS Allocations</t>
        </r>
      </text>
    </comment>
    <comment ref="AA5" authorId="0">
      <text>
        <r>
          <rPr>
            <b/>
            <sz val="8"/>
            <color indexed="81"/>
            <rFont val="Tahoma"/>
            <family val="2"/>
          </rPr>
          <t>Al Appleby:</t>
        </r>
        <r>
          <rPr>
            <sz val="8"/>
            <color indexed="81"/>
            <rFont val="Tahoma"/>
            <family val="2"/>
          </rPr>
          <t xml:space="preserve">
Sum of four factors - Free, Paid, Base and Transport - for full Nurseries only - all school based Nurseries catering remains with school - linked to FINBUD
</t>
        </r>
      </text>
    </comment>
    <comment ref="AC5" authorId="0">
      <text>
        <r>
          <rPr>
            <b/>
            <sz val="8"/>
            <color indexed="81"/>
            <rFont val="Tahoma"/>
            <family val="2"/>
          </rPr>
          <t>Al Appleby:</t>
        </r>
        <r>
          <rPr>
            <sz val="8"/>
            <color indexed="81"/>
            <rFont val="Tahoma"/>
            <family val="2"/>
          </rPr>
          <t xml:space="preserve">
For Nurseries with TA Hours</t>
        </r>
      </text>
    </comment>
    <comment ref="AE5" authorId="0">
      <text>
        <r>
          <rPr>
            <b/>
            <sz val="8"/>
            <color indexed="81"/>
            <rFont val="Tahoma"/>
            <family val="2"/>
          </rPr>
          <t>Al Appleby:</t>
        </r>
        <r>
          <rPr>
            <sz val="8"/>
            <color indexed="81"/>
            <rFont val="Tahoma"/>
            <family val="2"/>
          </rPr>
          <t xml:space="preserve">
Maximum of 1</t>
        </r>
      </text>
    </comment>
    <comment ref="AF5" authorId="0">
      <text>
        <r>
          <rPr>
            <b/>
            <sz val="8"/>
            <color indexed="81"/>
            <rFont val="Tahoma"/>
            <family val="2"/>
          </rPr>
          <t>Al Appleby:</t>
        </r>
        <r>
          <rPr>
            <sz val="8"/>
            <color indexed="81"/>
            <rFont val="Tahoma"/>
            <family val="2"/>
          </rPr>
          <t xml:space="preserve">
Amount to be based on actual cost of Graduate Leader not 23k</t>
        </r>
      </text>
    </comment>
  </commentList>
</comments>
</file>

<file path=xl/comments6.xml><?xml version="1.0" encoding="utf-8"?>
<comments xmlns="http://schemas.openxmlformats.org/spreadsheetml/2006/main">
  <authors>
    <author>Wain, Jocelyn</author>
  </authors>
  <commentList>
    <comment ref="R1" authorId="0">
      <text>
        <r>
          <rPr>
            <b/>
            <sz val="9"/>
            <color indexed="81"/>
            <rFont val="Tahoma"/>
            <family val="2"/>
          </rPr>
          <t>Wain, Jocelyn:</t>
        </r>
        <r>
          <rPr>
            <sz val="9"/>
            <color indexed="81"/>
            <rFont val="Tahoma"/>
            <family val="2"/>
          </rPr>
          <t xml:space="preserve">
Original</t>
        </r>
      </text>
    </comment>
    <comment ref="T1" authorId="0">
      <text>
        <r>
          <rPr>
            <b/>
            <sz val="9"/>
            <color indexed="81"/>
            <rFont val="Tahoma"/>
            <family val="2"/>
          </rPr>
          <t>Wain, Jocelyn:</t>
        </r>
        <r>
          <rPr>
            <sz val="9"/>
            <color indexed="81"/>
            <rFont val="Tahoma"/>
            <family val="2"/>
          </rPr>
          <t xml:space="preserve">
Balance of mobility funding to AWPU</t>
        </r>
      </text>
    </comment>
    <comment ref="R3" authorId="0">
      <text>
        <r>
          <rPr>
            <b/>
            <sz val="9"/>
            <color indexed="81"/>
            <rFont val="Tahoma"/>
            <family val="2"/>
          </rPr>
          <t>Wain, Jocelyn:</t>
        </r>
        <r>
          <rPr>
            <sz val="9"/>
            <color indexed="81"/>
            <rFont val="Tahoma"/>
            <family val="2"/>
          </rPr>
          <t xml:space="preserve">
Original</t>
        </r>
      </text>
    </comment>
    <comment ref="T3" authorId="0">
      <text>
        <r>
          <rPr>
            <b/>
            <sz val="9"/>
            <color indexed="81"/>
            <rFont val="Tahoma"/>
            <family val="2"/>
          </rPr>
          <t>Wain, Jocelyn:</t>
        </r>
        <r>
          <rPr>
            <sz val="9"/>
            <color indexed="81"/>
            <rFont val="Tahoma"/>
            <family val="2"/>
          </rPr>
          <t xml:space="preserve">
Balance of mobility funding to AWPU</t>
        </r>
      </text>
    </comment>
    <comment ref="R4" authorId="0">
      <text>
        <r>
          <rPr>
            <b/>
            <sz val="9"/>
            <color indexed="81"/>
            <rFont val="Tahoma"/>
            <family val="2"/>
          </rPr>
          <t>Wain, Jocelyn:</t>
        </r>
        <r>
          <rPr>
            <sz val="9"/>
            <color indexed="81"/>
            <rFont val="Tahoma"/>
            <family val="2"/>
          </rPr>
          <t xml:space="preserve">
Original</t>
        </r>
      </text>
    </comment>
    <comment ref="T4" authorId="0">
      <text>
        <r>
          <rPr>
            <b/>
            <sz val="9"/>
            <color indexed="81"/>
            <rFont val="Tahoma"/>
            <family val="2"/>
          </rPr>
          <t>Wain, Jocelyn:</t>
        </r>
        <r>
          <rPr>
            <sz val="9"/>
            <color indexed="81"/>
            <rFont val="Tahoma"/>
            <family val="2"/>
          </rPr>
          <t xml:space="preserve">
Balance of Mobility Funding to AWPU</t>
        </r>
      </text>
    </comment>
  </commentList>
</comments>
</file>

<file path=xl/comments7.xml><?xml version="1.0" encoding="utf-8"?>
<comments xmlns="http://schemas.openxmlformats.org/spreadsheetml/2006/main">
  <authors>
    <author>Al Appleby</author>
    <author>Goodacre, Kelly</author>
  </authors>
  <commentList>
    <comment ref="E5" authorId="0">
      <text>
        <r>
          <rPr>
            <b/>
            <sz val="8"/>
            <color indexed="81"/>
            <rFont val="Tahoma"/>
            <family val="2"/>
          </rPr>
          <t>Al Appleby:</t>
        </r>
        <r>
          <rPr>
            <sz val="8"/>
            <color indexed="81"/>
            <rFont val="Tahoma"/>
            <family val="2"/>
          </rPr>
          <t xml:space="preserve">
Places times 38 weeks
</t>
        </r>
      </text>
    </comment>
    <comment ref="F5" authorId="0">
      <text>
        <r>
          <rPr>
            <b/>
            <sz val="8"/>
            <color indexed="81"/>
            <rFont val="Tahoma"/>
            <family val="2"/>
          </rPr>
          <t>Al Appleby:</t>
        </r>
        <r>
          <rPr>
            <sz val="8"/>
            <color indexed="81"/>
            <rFont val="Tahoma"/>
            <family val="2"/>
          </rPr>
          <t xml:space="preserve">
Places times 30 for two 15 hr sessions per week</t>
        </r>
      </text>
    </comment>
    <comment ref="K5" authorId="1">
      <text>
        <r>
          <rPr>
            <b/>
            <sz val="9"/>
            <color indexed="81"/>
            <rFont val="Tahoma"/>
            <family val="2"/>
          </rPr>
          <t>Goodacre, Kelly:</t>
        </r>
        <r>
          <rPr>
            <sz val="9"/>
            <color indexed="81"/>
            <rFont val="Tahoma"/>
            <family val="2"/>
          </rPr>
          <t xml:space="preserve">
All on 3.605 minimum hourly rate from 13-14</t>
        </r>
      </text>
    </comment>
    <comment ref="V5" authorId="0">
      <text>
        <r>
          <rPr>
            <b/>
            <sz val="8"/>
            <color indexed="81"/>
            <rFont val="Tahoma"/>
            <family val="2"/>
          </rPr>
          <t>Al Appleby:</t>
        </r>
        <r>
          <rPr>
            <sz val="8"/>
            <color indexed="81"/>
            <rFont val="Tahoma"/>
            <family val="2"/>
          </rPr>
          <t xml:space="preserve">
For Nurseries with ERS Allocations</t>
        </r>
      </text>
    </comment>
    <comment ref="X5" authorId="0">
      <text>
        <r>
          <rPr>
            <b/>
            <sz val="8"/>
            <color indexed="81"/>
            <rFont val="Tahoma"/>
            <family val="2"/>
          </rPr>
          <t>Al Appleby:</t>
        </r>
        <r>
          <rPr>
            <sz val="8"/>
            <color indexed="81"/>
            <rFont val="Tahoma"/>
            <family val="2"/>
          </rPr>
          <t xml:space="preserve">
Sum of four factors - Free, Paid, Base and Transport - for full Nurseries only - all school based Nurseries catering remains with school - linked to FINBUD
</t>
        </r>
      </text>
    </comment>
    <comment ref="Z5" authorId="0">
      <text>
        <r>
          <rPr>
            <b/>
            <sz val="8"/>
            <color indexed="81"/>
            <rFont val="Tahoma"/>
            <family val="2"/>
          </rPr>
          <t>Al Appleby:</t>
        </r>
        <r>
          <rPr>
            <sz val="8"/>
            <color indexed="81"/>
            <rFont val="Tahoma"/>
            <family val="2"/>
          </rPr>
          <t xml:space="preserve">
For Nurseries with TA Hours</t>
        </r>
      </text>
    </comment>
    <comment ref="AB5" authorId="0">
      <text>
        <r>
          <rPr>
            <b/>
            <sz val="8"/>
            <color indexed="81"/>
            <rFont val="Tahoma"/>
            <family val="2"/>
          </rPr>
          <t>Al Appleby:</t>
        </r>
        <r>
          <rPr>
            <sz val="8"/>
            <color indexed="81"/>
            <rFont val="Tahoma"/>
            <family val="2"/>
          </rPr>
          <t xml:space="preserve">
Maximum of 1</t>
        </r>
      </text>
    </comment>
    <comment ref="AC5" authorId="0">
      <text>
        <r>
          <rPr>
            <b/>
            <sz val="8"/>
            <color indexed="81"/>
            <rFont val="Tahoma"/>
            <family val="2"/>
          </rPr>
          <t>Al Appleby:</t>
        </r>
        <r>
          <rPr>
            <sz val="8"/>
            <color indexed="81"/>
            <rFont val="Tahoma"/>
            <family val="2"/>
          </rPr>
          <t xml:space="preserve">
Amount to be based on actual cost of Graduate Leader not 23k</t>
        </r>
      </text>
    </comment>
  </commentList>
</comments>
</file>

<file path=xl/sharedStrings.xml><?xml version="1.0" encoding="utf-8"?>
<sst xmlns="http://schemas.openxmlformats.org/spreadsheetml/2006/main" count="13429" uniqueCount="1141">
  <si>
    <t>DfE No.</t>
  </si>
  <si>
    <t>School Name</t>
  </si>
  <si>
    <t>Closing</t>
  </si>
  <si>
    <t>LOCAL AUTHORITY MFG CALCULATOR</t>
  </si>
  <si>
    <t>MFG Assumptions</t>
  </si>
  <si>
    <t>Primary</t>
  </si>
  <si>
    <t xml:space="preserve">NB Minus 1.5% is the national MFG rate but the LA may agree a </t>
  </si>
  <si>
    <t>Secondary</t>
  </si>
  <si>
    <t>To calculate each school's MFG Allocation for 2013-14</t>
  </si>
  <si>
    <t>higher figure with their schools forum if affordable.</t>
  </si>
  <si>
    <t>WARNING</t>
  </si>
  <si>
    <t>1. Enter the MFG rate in cell G6 if higher than minus 1.5%</t>
  </si>
  <si>
    <t>The sum of the items outside the scope of the MFG for one or more schools (highlighted in red) is a negative number. Please check that you are intending to input a negative number and, if so, please contact the Department to discuss this further. You will</t>
  </si>
  <si>
    <r>
      <t xml:space="preserve">2. Enter the details for each school and select their </t>
    </r>
    <r>
      <rPr>
        <i/>
        <sz val="12"/>
        <color indexed="62"/>
        <rFont val="Arial"/>
        <family val="2"/>
      </rPr>
      <t>educational phase</t>
    </r>
  </si>
  <si>
    <t>MFG Rate</t>
  </si>
  <si>
    <t>3. Enter each school's  FY 2012-13 School Budget Share figure</t>
  </si>
  <si>
    <t>Prpn of budget share determined on basis of pupil nos (Pri)</t>
  </si>
  <si>
    <r>
      <t xml:space="preserve">4. Complete the table in the </t>
    </r>
    <r>
      <rPr>
        <i/>
        <sz val="12"/>
        <color indexed="18"/>
        <rFont val="Arial"/>
        <family val="2"/>
      </rPr>
      <t>'FY 1213 Exclusions' and 'FY 1314 Exclusions' Sheets</t>
    </r>
  </si>
  <si>
    <t>Prpn of budget share determined on basis of pupil nos (Sec)</t>
  </si>
  <si>
    <t>5. Enter each school's pupil numbers for 2012-13 and 2013-14. If the</t>
  </si>
  <si>
    <r>
      <t xml:space="preserve">  school is considered small, enter a </t>
    </r>
    <r>
      <rPr>
        <i/>
        <sz val="12"/>
        <color indexed="18"/>
        <rFont val="Arial"/>
        <family val="2"/>
      </rPr>
      <t xml:space="preserve">'percentage budget share determined on the basis of pupil numbers" </t>
    </r>
    <r>
      <rPr>
        <i/>
        <sz val="12"/>
        <rFont val="Arial"/>
        <family val="2"/>
      </rPr>
      <t>figure</t>
    </r>
  </si>
  <si>
    <t>6. Enter each school's FY 2013-14 LA funding formula allocation</t>
  </si>
  <si>
    <t>2012-13 School Information</t>
  </si>
  <si>
    <t>Adjusted Budget Share</t>
  </si>
  <si>
    <t>2013-14 School Information</t>
  </si>
  <si>
    <t>Calculation of the 2013-14 Guaranteed Funding Level</t>
  </si>
  <si>
    <t>Educational Phase of School</t>
  </si>
  <si>
    <t>Does the school have 75 pupils or fewer in either FY?</t>
  </si>
  <si>
    <t>If YES, please enter percentage budget share determined on the basis of pupil numbers</t>
  </si>
  <si>
    <t>Change in Pupil Numbers</t>
  </si>
  <si>
    <t>Adjustment for Change in Pupil Numbers</t>
  </si>
  <si>
    <t>Number of months school is open for?</t>
  </si>
  <si>
    <t>School 1</t>
  </si>
  <si>
    <t>School 2</t>
  </si>
  <si>
    <t>School 3</t>
  </si>
  <si>
    <t>School 4</t>
  </si>
  <si>
    <t>Ashgate Nursery</t>
  </si>
  <si>
    <t>Castle Nursery</t>
  </si>
  <si>
    <t>Central Nursery</t>
  </si>
  <si>
    <t>Harrington Nursery</t>
  </si>
  <si>
    <t>Lord St Nursery</t>
  </si>
  <si>
    <t>Stonehill Nursery</t>
  </si>
  <si>
    <t>Walbrook Nursery</t>
  </si>
  <si>
    <t>Whitecross Nursery</t>
  </si>
  <si>
    <t>Allenton Community Primary School</t>
  </si>
  <si>
    <t>Alvaston Infant and Nursery School</t>
  </si>
  <si>
    <t>Alvaston Junior Community School</t>
  </si>
  <si>
    <t>Arboretum Primary School</t>
  </si>
  <si>
    <t>Ash Croft Primary School</t>
  </si>
  <si>
    <t>Ashgate Primary School</t>
  </si>
  <si>
    <t>Asterdale Primary School</t>
  </si>
  <si>
    <t>Beaufort Community Primary School</t>
  </si>
  <si>
    <t>Becket Primary School</t>
  </si>
  <si>
    <t>Bishop Lonsdale Church of England (Aided) Primary School</t>
  </si>
  <si>
    <t>Borrow Wood Primary School</t>
  </si>
  <si>
    <t>Wyndham Primary School</t>
  </si>
  <si>
    <t>Brackensdale Infant School</t>
  </si>
  <si>
    <t>Brackensdale Junior School</t>
  </si>
  <si>
    <t>Breadsall Hill Top Infant School</t>
  </si>
  <si>
    <t>Breadsall Hill Top Junior School</t>
  </si>
  <si>
    <t>Brookfield Primary School</t>
  </si>
  <si>
    <t>Carlyle Infant School</t>
  </si>
  <si>
    <t>Cavendish Close Infant School</t>
  </si>
  <si>
    <t>Cavendish Close Junior School</t>
  </si>
  <si>
    <t>Chaddesden Park Primary School</t>
  </si>
  <si>
    <t>Chellaston Infant School</t>
  </si>
  <si>
    <t>Chellaston Junior School</t>
  </si>
  <si>
    <t>Cherry Tree Hill Primary School</t>
  </si>
  <si>
    <t>Dale Community Primary School</t>
  </si>
  <si>
    <t>Derwent Community School</t>
  </si>
  <si>
    <t>Firs Estate Primary School</t>
  </si>
  <si>
    <t>Gayton Community Junior School</t>
  </si>
  <si>
    <t>Grampian Primary School</t>
  </si>
  <si>
    <t>Griffe Field Primary School</t>
  </si>
  <si>
    <t>Hardwick Primary School</t>
  </si>
  <si>
    <t>Homefields Primary</t>
  </si>
  <si>
    <t>Lakeside Community Primary School</t>
  </si>
  <si>
    <t>Lawn Primary School</t>
  </si>
  <si>
    <t>Markeaton Primary School</t>
  </si>
  <si>
    <t>Meadow Farm Community Primary School</t>
  </si>
  <si>
    <t>Mickleover Primary School</t>
  </si>
  <si>
    <t>Landau Forte Academy Moorhead</t>
  </si>
  <si>
    <t>Osmaston Primary School</t>
  </si>
  <si>
    <t>Oakwood Infant School</t>
  </si>
  <si>
    <t>Oakwood Junior School</t>
  </si>
  <si>
    <t>Parkview Primary School</t>
  </si>
  <si>
    <t>Pear Tree Community Junior School</t>
  </si>
  <si>
    <t>Pear Tree Infant School</t>
  </si>
  <si>
    <t>Portway Infant School</t>
  </si>
  <si>
    <t>Portway Junior School</t>
  </si>
  <si>
    <t>Ravensdale Infant School</t>
  </si>
  <si>
    <t>Ravensdale Junior School</t>
  </si>
  <si>
    <t>Redwood Primary School</t>
  </si>
  <si>
    <t>Reigate Primary School</t>
  </si>
  <si>
    <t>Ridgeway Infant School</t>
  </si>
  <si>
    <t>Roe Farm Primary School</t>
  </si>
  <si>
    <t>Rosehill Infant and Nursery School</t>
  </si>
  <si>
    <t>Shelton Infant School</t>
  </si>
  <si>
    <t>Shelton Junior School</t>
  </si>
  <si>
    <t>Silverhill Primary School</t>
  </si>
  <si>
    <t>Sinfin Primary School</t>
  </si>
  <si>
    <t>Springfield Primary School</t>
  </si>
  <si>
    <t>St Alban's Catholic Primary School</t>
  </si>
  <si>
    <t>St Chad's Church of England (Controlled) Nursery and Infant School</t>
  </si>
  <si>
    <t>St George's Catholic Voluntary Academy</t>
  </si>
  <si>
    <t>St James' Church of England (Aided) Infant School and Nursery</t>
  </si>
  <si>
    <t>St James' Church of England (Aided) Junior School</t>
  </si>
  <si>
    <t>St John Fisher Catholic Voluntary Academy</t>
  </si>
  <si>
    <t>St Joseph's Catholic Primary School</t>
  </si>
  <si>
    <t>St Mary's Catholic Primary School</t>
  </si>
  <si>
    <t>St Peter's Church of England (Aided) Junior School</t>
  </si>
  <si>
    <t>St Werburgh's Church of England (Aided) Primary School</t>
  </si>
  <si>
    <t>Village Primary School</t>
  </si>
  <si>
    <t>Walter Evans Church of England (Aided) Primary School</t>
  </si>
  <si>
    <t>Wren Park Primary School</t>
  </si>
  <si>
    <t>Bemrose Community School</t>
  </si>
  <si>
    <t>da Vinci Community College</t>
  </si>
  <si>
    <t>Derby Moor Community School</t>
  </si>
  <si>
    <t>Lees Brook Community Sports College</t>
  </si>
  <si>
    <t>Littleover Community School</t>
  </si>
  <si>
    <t>Merrill College</t>
  </si>
  <si>
    <t>Murray Park Community School</t>
  </si>
  <si>
    <t>Noel-Baker Community School</t>
  </si>
  <si>
    <t>Saint Benedict Catholic Voluntary Academy</t>
  </si>
  <si>
    <t>Sinfin Community School</t>
  </si>
  <si>
    <t>Allestree Woodlands School</t>
  </si>
  <si>
    <t>West Park School</t>
  </si>
  <si>
    <t>Chellaston Academy</t>
  </si>
  <si>
    <t>Landau</t>
  </si>
  <si>
    <t>variance</t>
  </si>
  <si>
    <t>Total with Landau</t>
  </si>
  <si>
    <t>Excluding Nurseries &amp; Landau</t>
  </si>
  <si>
    <t>Per their form SBS 12-13</t>
  </si>
  <si>
    <t xml:space="preserve">Difference due to </t>
  </si>
  <si>
    <t>Rates</t>
  </si>
  <si>
    <t>KS1 class</t>
  </si>
  <si>
    <t>MFG Total per their form</t>
  </si>
  <si>
    <t>Amount per primary pupil £</t>
  </si>
  <si>
    <t>Amount per secondary pupil £</t>
  </si>
  <si>
    <t>Amount per KS3 pupil £</t>
  </si>
  <si>
    <t>Amount per KS4 pupil £</t>
  </si>
  <si>
    <t>Per pupil (all prim &amp; sec pupils)</t>
  </si>
  <si>
    <t>DfE Number</t>
  </si>
  <si>
    <t>Primary pupils R to Yr6</t>
  </si>
  <si>
    <t>KS3 pupils</t>
  </si>
  <si>
    <t>KS4 pupils</t>
  </si>
  <si>
    <t>Total NOR</t>
  </si>
  <si>
    <t>Higher Needs Primary pupils R to Yr6</t>
  </si>
  <si>
    <t>Higher Needs KS3 pupils</t>
  </si>
  <si>
    <t>Higher Needs KS4 pupils</t>
  </si>
  <si>
    <t>Net Primary pupils R to Yr6</t>
  </si>
  <si>
    <t>Net KS3 pupils</t>
  </si>
  <si>
    <t>Net KS4 pupils</t>
  </si>
  <si>
    <t>Net NOR</t>
  </si>
  <si>
    <t>1) Basic Entitlement - Age Weighted Pupil Funding (AWPU) £</t>
  </si>
  <si>
    <t>Alvaston Junior School</t>
  </si>
  <si>
    <t>Bishop Lonsdale Church of England Aided Primary School</t>
  </si>
  <si>
    <t>Wyndham Primary Academy</t>
  </si>
  <si>
    <t>Chaddesden Park Primary</t>
  </si>
  <si>
    <t>Derby St Chad's CE (VC) Nursery and Infant School</t>
  </si>
  <si>
    <t>Grampian Primary Academy</t>
  </si>
  <si>
    <t>Homefields Primary School</t>
  </si>
  <si>
    <t>Oakwood Infant and Nursery School</t>
  </si>
  <si>
    <t>Ravensdale Infant and Nursery School</t>
  </si>
  <si>
    <t>St James' Church of England Aided Infant School</t>
  </si>
  <si>
    <t>St James' Church of England Aided Junior School</t>
  </si>
  <si>
    <t>St Joseph's Catholic Primary School, Derby</t>
  </si>
  <si>
    <t>St Mary's Catholic Primary School and Nursery</t>
  </si>
  <si>
    <t>St Peter's Church of England Aided Junior School</t>
  </si>
  <si>
    <t>St Werburgh's Church of England VA Primary School</t>
  </si>
  <si>
    <t>Walter Evans Church of England Aided Primary School</t>
  </si>
  <si>
    <t>Total Primary</t>
  </si>
  <si>
    <t>Derby Moor Community Sports College</t>
  </si>
  <si>
    <t>Murray Park School</t>
  </si>
  <si>
    <t>Noel Baker Community School and Language College</t>
  </si>
  <si>
    <t>The Bemrose School</t>
  </si>
  <si>
    <t>Total Secondary</t>
  </si>
  <si>
    <t>All Schools</t>
  </si>
  <si>
    <t>All</t>
  </si>
  <si>
    <t>Variance</t>
  </si>
  <si>
    <t>School</t>
  </si>
  <si>
    <t>DfE No</t>
  </si>
  <si>
    <t>IDACI Band 1 0.2 - 0.25</t>
  </si>
  <si>
    <t>IDACI Band 2 0.25 - 0.3</t>
  </si>
  <si>
    <t>IDACI Band 3 0.3 - 0.4</t>
  </si>
  <si>
    <t>IDACI Band 4 0.4 - 0.5</t>
  </si>
  <si>
    <t>IDACI Band 5 0.5 - 0.6</t>
  </si>
  <si>
    <t>IDACI Band 6 0.6 -1.0</t>
  </si>
  <si>
    <t>Primary Deprivation based on FSM Ever 6 £</t>
  </si>
  <si>
    <t>Secondary Deprivation based on FSM Ever 6 £</t>
  </si>
  <si>
    <t>Primary Deprivation based on IDACI £</t>
  </si>
  <si>
    <t>Secondary Deprivation based on IDACI £</t>
  </si>
  <si>
    <t>2) Total Deprivation based on FSM Ever6 &amp; IDACI  £</t>
  </si>
  <si>
    <t>Chaddesden Park Junior School</t>
  </si>
  <si>
    <t>LAC numbers</t>
  </si>
  <si>
    <t>3) Looked After Children (LAC) £</t>
  </si>
  <si>
    <t>4) Low cost, high incidence SEN £</t>
  </si>
  <si>
    <t>Primary EAL 3 pupil numbers</t>
  </si>
  <si>
    <t>Secondary EAL 3 pupil numbers</t>
  </si>
  <si>
    <t>Primary English as an Additional Language £</t>
  </si>
  <si>
    <t>Secondary English as an Additional Language £</t>
  </si>
  <si>
    <t>5) English as an Additional Language £</t>
  </si>
  <si>
    <t>Primary Mobility</t>
  </si>
  <si>
    <t>Secondary Mobility</t>
  </si>
  <si>
    <t>Primary Mobility £</t>
  </si>
  <si>
    <t>Secondary Mobility £</t>
  </si>
  <si>
    <t>6) Mobility £</t>
  </si>
  <si>
    <t>7) Lump Sum £</t>
  </si>
  <si>
    <t>8) Split Site £</t>
  </si>
  <si>
    <t>10) PFI Funding £</t>
  </si>
  <si>
    <t>Pre MFG Total</t>
  </si>
  <si>
    <t>MFG</t>
  </si>
  <si>
    <t>Delegated Budget</t>
  </si>
  <si>
    <t>AWPU £</t>
  </si>
  <si>
    <t>Deprivation £</t>
  </si>
  <si>
    <t>LAC £</t>
  </si>
  <si>
    <t>LCHI SEN £</t>
  </si>
  <si>
    <t>EAL £</t>
  </si>
  <si>
    <t>Mobility £</t>
  </si>
  <si>
    <t>Lump Sum £</t>
  </si>
  <si>
    <t>Split Site £</t>
  </si>
  <si>
    <t>Rates £</t>
  </si>
  <si>
    <t>PFI £</t>
  </si>
  <si>
    <t>Delegation</t>
  </si>
  <si>
    <t>Delegation in AWPU in 13-14 now part of Base</t>
  </si>
  <si>
    <t>MFG 13-14</t>
  </si>
  <si>
    <t>Delegation in AWPU in 13-14</t>
  </si>
  <si>
    <t>CAP 13-14</t>
  </si>
  <si>
    <t>Budget before MFG</t>
  </si>
  <si>
    <t>Calculation of the 2012-13 MFG Allocation &amp; Final School Budget Share</t>
  </si>
  <si>
    <t>OCT 2011 Pre 16 Pupil Numbers</t>
  </si>
  <si>
    <t>FY 2012-13 TOTAL Budget Share (INCLUDES EVERYTHING)</t>
  </si>
  <si>
    <t>Funding Outside the scope of the MFG in FY 2012-13</t>
  </si>
  <si>
    <t>FY 2012-13 Adjusted Budget Share</t>
  </si>
  <si>
    <t>OCT 2012 Pre 16 OCT Pupil Numbers excluding high needs</t>
  </si>
  <si>
    <t>2013-14 Guaranteed Funding Level</t>
  </si>
  <si>
    <t>2013-14 School Budget Share from Local Formula for full 12 months</t>
  </si>
  <si>
    <t>School Closing during FY 2013-14?</t>
  </si>
  <si>
    <t>Funding Outside the Scope of the MFG in FY 2013-14</t>
  </si>
  <si>
    <t>2013-14 Adjusted School Budget Share</t>
  </si>
  <si>
    <t>2013-14 MFG Allocation</t>
  </si>
  <si>
    <t>2012-13 Final School Budget Share</t>
  </si>
  <si>
    <t>2013 per pupil</t>
  </si>
  <si>
    <t>2012 per pupil</t>
  </si>
  <si>
    <t/>
  </si>
  <si>
    <t>MISSING VALUE</t>
  </si>
  <si>
    <t>2012-13 MFG Baseline Adjusted by minus 1.5%</t>
  </si>
  <si>
    <t>YES</t>
  </si>
  <si>
    <t>NO</t>
  </si>
  <si>
    <t>excluding mfg#</t>
  </si>
  <si>
    <t>including mfg</t>
  </si>
  <si>
    <t>KS 1/2</t>
  </si>
  <si>
    <t>KS 3</t>
  </si>
  <si>
    <t>KS 4</t>
  </si>
  <si>
    <t xml:space="preserve">Total </t>
  </si>
  <si>
    <t>Prim %</t>
  </si>
  <si>
    <t>Sec %</t>
  </si>
  <si>
    <t>LCHI SEN - Number of Secondary pupils not achieving Level 4 in English or Maths</t>
  </si>
  <si>
    <t>As a memo only - now in AWPU</t>
  </si>
  <si>
    <t>For APT</t>
  </si>
  <si>
    <t>City of Derby Academy / Sinfin Community School</t>
  </si>
  <si>
    <t>updated for Final EFA Data</t>
  </si>
  <si>
    <t>Rates 14-15</t>
  </si>
  <si>
    <t>rates 13-14 Adj</t>
  </si>
  <si>
    <t>9) Total Rates £</t>
  </si>
  <si>
    <t>Sinfin Community School / City Of Derby</t>
  </si>
  <si>
    <t xml:space="preserve">FSM Ever 6 </t>
  </si>
  <si>
    <t>reduced to zero as none in Oct 2013</t>
  </si>
  <si>
    <t>reduced to zero as none in Oct 2013, change is only due to change of school status</t>
  </si>
  <si>
    <t>updated 19/12/13</t>
  </si>
  <si>
    <t>EFA updated Recoupment in year so no 13-14 adjustment required</t>
  </si>
  <si>
    <t>2013-14 funding</t>
  </si>
  <si>
    <t>Cap</t>
  </si>
  <si>
    <t>incorrect recoupment from EFA - think took 80% relief twice, so we owe the difference</t>
  </si>
  <si>
    <t>AWPU inc delegated Budget £</t>
  </si>
  <si>
    <t>before reduction</t>
  </si>
  <si>
    <t>EFA Claim incorrect. Should be £2,519.85 not £2,591.05</t>
  </si>
  <si>
    <t>EFA Rates claimed in incorrect.  Should be £37,680 not  £37,903.72</t>
  </si>
  <si>
    <t>Adjustment required. School not made rates claim to EFA</t>
  </si>
  <si>
    <t>De-delegation</t>
  </si>
  <si>
    <t>Net School budget</t>
  </si>
  <si>
    <t>Budget before De-Delegation</t>
  </si>
  <si>
    <t>Pupil led</t>
  </si>
  <si>
    <t>Amount per secondary school £</t>
  </si>
  <si>
    <t>Amount per primary school £</t>
  </si>
  <si>
    <t>KS1 Class Factor</t>
  </si>
  <si>
    <t>ERS</t>
  </si>
  <si>
    <t>TA Hours</t>
  </si>
  <si>
    <t>Sixth Form</t>
  </si>
  <si>
    <t>Nursery</t>
  </si>
  <si>
    <t>Contingency</t>
  </si>
  <si>
    <t>Total</t>
  </si>
  <si>
    <t>Ivy House</t>
  </si>
  <si>
    <t>St Andrews</t>
  </si>
  <si>
    <t>St Clares</t>
  </si>
  <si>
    <t>St Giles</t>
  </si>
  <si>
    <t>St Martins</t>
  </si>
  <si>
    <t>Kingsmead</t>
  </si>
  <si>
    <t>Post 16 Enhancement</t>
  </si>
  <si>
    <t>Top Up Rates</t>
  </si>
  <si>
    <t>Derby City Pupil Numbers</t>
  </si>
  <si>
    <t>Other LA Pupil Numbers</t>
  </si>
  <si>
    <t>Total Pupil Numbers</t>
  </si>
  <si>
    <t>Pre-16 Students</t>
  </si>
  <si>
    <t>Band 1</t>
  </si>
  <si>
    <t>Band 2</t>
  </si>
  <si>
    <t>Band 3</t>
  </si>
  <si>
    <t>Band 4</t>
  </si>
  <si>
    <t>Band 5</t>
  </si>
  <si>
    <t>Band 6</t>
  </si>
  <si>
    <t>Place Funding</t>
  </si>
  <si>
    <t>Top Up Funding DCC</t>
  </si>
  <si>
    <t>Residential Provision</t>
  </si>
  <si>
    <t>PFI</t>
  </si>
  <si>
    <t>Sub Total DCC</t>
  </si>
  <si>
    <t>Top Up Funding Other LA</t>
  </si>
  <si>
    <t>Total School Funding</t>
  </si>
  <si>
    <t>Total Places</t>
  </si>
  <si>
    <t>DCC Pre 16</t>
  </si>
  <si>
    <t>Other LA Pre 16</t>
  </si>
  <si>
    <t>Yr1-2</t>
  </si>
  <si>
    <t>Yr3-6</t>
  </si>
  <si>
    <t>Yr7+</t>
  </si>
  <si>
    <t>£</t>
  </si>
  <si>
    <t>Post 16 Students</t>
  </si>
  <si>
    <t>DCC Post 16</t>
  </si>
  <si>
    <t>Other LA Post 16</t>
  </si>
  <si>
    <t>Sub Total</t>
  </si>
  <si>
    <t>Total DCC</t>
  </si>
  <si>
    <t>Total Other LA</t>
  </si>
  <si>
    <t>PRU KS1/2</t>
  </si>
  <si>
    <t>PRU KS3/4</t>
  </si>
  <si>
    <t>**Please note that Top Up Rates are Confidential**</t>
  </si>
  <si>
    <t>Derby City Places</t>
  </si>
  <si>
    <t>Other LA Places</t>
  </si>
  <si>
    <t>Top Up Funding</t>
  </si>
  <si>
    <t>Other</t>
  </si>
  <si>
    <t>Derby City</t>
  </si>
  <si>
    <t>Other LA Top Up</t>
  </si>
  <si>
    <t>ERS Units - Pre-16 Students</t>
  </si>
  <si>
    <t>Springfield</t>
  </si>
  <si>
    <t>Nurture Groups</t>
  </si>
  <si>
    <t>Becket Primary</t>
  </si>
  <si>
    <t>Lakeside Community Primary</t>
  </si>
  <si>
    <t>Total Pre 16 Places</t>
  </si>
  <si>
    <t>ERS Units - Post 16 Students</t>
  </si>
  <si>
    <t>Total Post 16 Places</t>
  </si>
  <si>
    <t>Total School Places</t>
  </si>
  <si>
    <t>Under 5's</t>
  </si>
  <si>
    <t>Horizons</t>
  </si>
  <si>
    <t>Horizons at St Martins</t>
  </si>
  <si>
    <t>Total ERS</t>
  </si>
  <si>
    <t>AWPU</t>
  </si>
  <si>
    <t>AWPU (Mob)</t>
  </si>
  <si>
    <t>AWPU (LCHI SEN)</t>
  </si>
  <si>
    <t>Total AWPU</t>
  </si>
  <si>
    <t>Deprivation</t>
  </si>
  <si>
    <t>LAC</t>
  </si>
  <si>
    <t>LCHI SEN</t>
  </si>
  <si>
    <t>EAL</t>
  </si>
  <si>
    <t>Mobility</t>
  </si>
  <si>
    <t>Notional SEN £8.2m</t>
  </si>
  <si>
    <t>Notional SEN £4.1m</t>
  </si>
  <si>
    <t>Notional SEN £4.5m</t>
  </si>
  <si>
    <t>8312400</t>
  </si>
  <si>
    <t>8312443</t>
  </si>
  <si>
    <t>8312442</t>
  </si>
  <si>
    <t>8312629</t>
  </si>
  <si>
    <t>8312509</t>
  </si>
  <si>
    <t>8312005</t>
  </si>
  <si>
    <t>8312464</t>
  </si>
  <si>
    <t>8312004</t>
  </si>
  <si>
    <t>8312405</t>
  </si>
  <si>
    <t>8313525</t>
  </si>
  <si>
    <t>8315201</t>
  </si>
  <si>
    <t>8312007</t>
  </si>
  <si>
    <t>8312433</t>
  </si>
  <si>
    <t>8312432</t>
  </si>
  <si>
    <t>8312447</t>
  </si>
  <si>
    <t>8312512</t>
  </si>
  <si>
    <t>8312456</t>
  </si>
  <si>
    <t>8312449</t>
  </si>
  <si>
    <t>8312448</t>
  </si>
  <si>
    <t>8312467</t>
  </si>
  <si>
    <t>8312455</t>
  </si>
  <si>
    <t>8315203</t>
  </si>
  <si>
    <t>8312451</t>
  </si>
  <si>
    <t>8312409</t>
  </si>
  <si>
    <t>8313158</t>
  </si>
  <si>
    <t>8312619</t>
  </si>
  <si>
    <t>8312518</t>
  </si>
  <si>
    <t>8312457</t>
  </si>
  <si>
    <t>8312010</t>
  </si>
  <si>
    <t>8312002</t>
  </si>
  <si>
    <t>8313544</t>
  </si>
  <si>
    <t>8312006</t>
  </si>
  <si>
    <t>8312434</t>
  </si>
  <si>
    <t>8312522</t>
  </si>
  <si>
    <t>8312436</t>
  </si>
  <si>
    <t>8312452</t>
  </si>
  <si>
    <t>8312627</t>
  </si>
  <si>
    <t>8312009</t>
  </si>
  <si>
    <t>8312473</t>
  </si>
  <si>
    <t>8312471</t>
  </si>
  <si>
    <t>8312420</t>
  </si>
  <si>
    <t>8312003</t>
  </si>
  <si>
    <t>8312423</t>
  </si>
  <si>
    <t>8312424</t>
  </si>
  <si>
    <t>8312439</t>
  </si>
  <si>
    <t>8312440</t>
  </si>
  <si>
    <t>8312462</t>
  </si>
  <si>
    <t>8312463</t>
  </si>
  <si>
    <t>8312505</t>
  </si>
  <si>
    <t>8312000</t>
  </si>
  <si>
    <t>8312458</t>
  </si>
  <si>
    <t>8312001</t>
  </si>
  <si>
    <t>8312429</t>
  </si>
  <si>
    <t>8312444</t>
  </si>
  <si>
    <t>8315209</t>
  </si>
  <si>
    <t>8312469</t>
  </si>
  <si>
    <t>8312430</t>
  </si>
  <si>
    <t>8312466</t>
  </si>
  <si>
    <t>8313543</t>
  </si>
  <si>
    <t>8313531</t>
  </si>
  <si>
    <t>8313526</t>
  </si>
  <si>
    <t>8313535</t>
  </si>
  <si>
    <t>8312008</t>
  </si>
  <si>
    <t>8313542</t>
  </si>
  <si>
    <t>8313528</t>
  </si>
  <si>
    <t>8313534</t>
  </si>
  <si>
    <t>8313532</t>
  </si>
  <si>
    <t>8313546</t>
  </si>
  <si>
    <t>8313530</t>
  </si>
  <si>
    <t>8312459</t>
  </si>
  <si>
    <t>Bemrose</t>
  </si>
  <si>
    <t>NEW</t>
  </si>
  <si>
    <t>8314177</t>
  </si>
  <si>
    <t>8315402</t>
  </si>
  <si>
    <t>8314608</t>
  </si>
  <si>
    <t>8314178</t>
  </si>
  <si>
    <t>8314181</t>
  </si>
  <si>
    <t>8314182</t>
  </si>
  <si>
    <t>8314001</t>
  </si>
  <si>
    <t>8315406</t>
  </si>
  <si>
    <t>8315407</t>
  </si>
  <si>
    <t>8314607</t>
  </si>
  <si>
    <t>8314002</t>
  </si>
  <si>
    <t>8315412</t>
  </si>
  <si>
    <t>8315414</t>
  </si>
  <si>
    <t>Reduction</t>
  </si>
  <si>
    <t>Balance</t>
  </si>
  <si>
    <t>Factor Change £8.2m</t>
  </si>
  <si>
    <t>Factor Change £4.1m</t>
  </si>
  <si>
    <t>Factor Change £4.5m</t>
  </si>
  <si>
    <t>AWPU Factor totals</t>
  </si>
  <si>
    <t>Prim AWPU</t>
  </si>
  <si>
    <t>KS3</t>
  </si>
  <si>
    <t>KS4</t>
  </si>
  <si>
    <t>After N SEN removed</t>
  </si>
  <si>
    <t>APT factors after NSEN removed</t>
  </si>
  <si>
    <t>NSEN Balance left divided by factor distributedn after NSEN deduction</t>
  </si>
  <si>
    <t>Breadsall Hill Top Primary School</t>
  </si>
  <si>
    <t>Early Years Single Formula 2012-13</t>
  </si>
  <si>
    <t>Maintained Nurseries Only</t>
  </si>
  <si>
    <t>Original Formula Template</t>
  </si>
  <si>
    <t>PUPIL LED BASE AMOUNT</t>
  </si>
  <si>
    <t>DEPRIVATION FUNDING</t>
  </si>
  <si>
    <t>VULNERABLE CHILDREN FUNDING</t>
  </si>
  <si>
    <t>CATERING</t>
  </si>
  <si>
    <t>TA</t>
  </si>
  <si>
    <t>STANDALONE BASE</t>
  </si>
  <si>
    <t>FORMULA BUDGET</t>
  </si>
  <si>
    <t>Schools with Nursery Classes</t>
  </si>
  <si>
    <t>Cost Centre</t>
  </si>
  <si>
    <t>DCSF No</t>
  </si>
  <si>
    <t>Max No of Places</t>
  </si>
  <si>
    <t>Max No of Hours</t>
  </si>
  <si>
    <t>Summer</t>
  </si>
  <si>
    <t>Autumn</t>
  </si>
  <si>
    <t>Spring</t>
  </si>
  <si>
    <t>Reported Hours</t>
  </si>
  <si>
    <t>Hour Check</t>
  </si>
  <si>
    <t>FORMULA HOURS</t>
  </si>
  <si>
    <t>Setting Type</t>
  </si>
  <si>
    <t>Type Hrly Rate</t>
  </si>
  <si>
    <t>Hrly Rate Funding</t>
  </si>
  <si>
    <t>No Of Hours</t>
  </si>
  <si>
    <t>Unit Cost</t>
  </si>
  <si>
    <t>Total Deprivation Funding</t>
  </si>
  <si>
    <t>No of Pupils' Hours</t>
  </si>
  <si>
    <t>Total Vulnerable Children Funding</t>
  </si>
  <si>
    <t>Total ERS Funding</t>
  </si>
  <si>
    <t>Total Catering Funding</t>
  </si>
  <si>
    <t>Total TA Funding</t>
  </si>
  <si>
    <t>Number per Setting</t>
  </si>
  <si>
    <t>Amount</t>
  </si>
  <si>
    <t>Total Base Funding</t>
  </si>
  <si>
    <t>Number of Pupils' Hours</t>
  </si>
  <si>
    <t>Total EAL Funding</t>
  </si>
  <si>
    <t>Total Single Formula Budget</t>
  </si>
  <si>
    <t>Prior Year Adjustment</t>
  </si>
  <si>
    <t>Quality</t>
  </si>
  <si>
    <t>Final Budget 2014-15</t>
  </si>
  <si>
    <t>E200201</t>
  </si>
  <si>
    <t>S</t>
  </si>
  <si>
    <t>E200401</t>
  </si>
  <si>
    <t>E100101</t>
  </si>
  <si>
    <t>M</t>
  </si>
  <si>
    <t>E200701</t>
  </si>
  <si>
    <t>E200801</t>
  </si>
  <si>
    <t>E200901</t>
  </si>
  <si>
    <t>E201001</t>
  </si>
  <si>
    <t>E201201</t>
  </si>
  <si>
    <t>E201301</t>
  </si>
  <si>
    <t>E201401</t>
  </si>
  <si>
    <t>E201601</t>
  </si>
  <si>
    <t>E201801</t>
  </si>
  <si>
    <t>E201901</t>
  </si>
  <si>
    <t>E100201</t>
  </si>
  <si>
    <t>E202001</t>
  </si>
  <si>
    <t>E100301</t>
  </si>
  <si>
    <t>Chaddesden Park Infant School</t>
  </si>
  <si>
    <t>E202201</t>
  </si>
  <si>
    <t>Cherry Tree Primary School</t>
  </si>
  <si>
    <t>E202601</t>
  </si>
  <si>
    <t>E202901</t>
  </si>
  <si>
    <t>E203001</t>
  </si>
  <si>
    <t>Grampian Primary School /Academy</t>
  </si>
  <si>
    <t>E203201</t>
  </si>
  <si>
    <t>E203301</t>
  </si>
  <si>
    <t>E203401</t>
  </si>
  <si>
    <t>E100401</t>
  </si>
  <si>
    <t>E203501</t>
  </si>
  <si>
    <t>E203601</t>
  </si>
  <si>
    <t>E100501</t>
  </si>
  <si>
    <t>E203901</t>
  </si>
  <si>
    <t>E204201</t>
  </si>
  <si>
    <t>E204701</t>
  </si>
  <si>
    <t>E204901</t>
  </si>
  <si>
    <t>E205401</t>
  </si>
  <si>
    <t>E205601</t>
  </si>
  <si>
    <t>E205801</t>
  </si>
  <si>
    <t>E206001</t>
  </si>
  <si>
    <t>E206101</t>
  </si>
  <si>
    <t>E206201</t>
  </si>
  <si>
    <t>E206501</t>
  </si>
  <si>
    <t>E206701</t>
  </si>
  <si>
    <t>E206801</t>
  </si>
  <si>
    <t>E207001</t>
  </si>
  <si>
    <t>E207401</t>
  </si>
  <si>
    <t>E100601</t>
  </si>
  <si>
    <t>E204501</t>
  </si>
  <si>
    <t>E100701</t>
  </si>
  <si>
    <t>E207801</t>
  </si>
  <si>
    <t>E100801</t>
  </si>
  <si>
    <t>Maintained Subtotal</t>
  </si>
  <si>
    <t>PVI Nurseries</t>
  </si>
  <si>
    <t>Post Code</t>
  </si>
  <si>
    <t>OFSTED ID</t>
  </si>
  <si>
    <t>Total Graduate Leader Funding</t>
  </si>
  <si>
    <t>Formula Budget before MFG and CAP</t>
  </si>
  <si>
    <t>Ace Nursery</t>
  </si>
  <si>
    <t>DE23 8DH</t>
  </si>
  <si>
    <t>D</t>
  </si>
  <si>
    <t>An-Noor Nursery</t>
  </si>
  <si>
    <t>EY362920</t>
  </si>
  <si>
    <t>Becket Sure Start Children's Centre</t>
  </si>
  <si>
    <t>DE22 3WR</t>
  </si>
  <si>
    <t>EY380753</t>
  </si>
  <si>
    <t>Best Start Sinfin</t>
  </si>
  <si>
    <t>EY467568</t>
  </si>
  <si>
    <t>Best Start Sunnyhill</t>
  </si>
  <si>
    <t>EY467617</t>
  </si>
  <si>
    <t>Best Start Arboretum</t>
  </si>
  <si>
    <t>EY467619</t>
  </si>
  <si>
    <t>Bizzy Kidz</t>
  </si>
  <si>
    <t>EY450983</t>
  </si>
  <si>
    <t>Boulton Lane Park Pre-School Playgroup</t>
  </si>
  <si>
    <t>DE24 0BD</t>
  </si>
  <si>
    <t>P</t>
  </si>
  <si>
    <t>Bramble Brook Pre-School  Playgroup</t>
  </si>
  <si>
    <t>DE3 9HD</t>
  </si>
  <si>
    <t>EY282068</t>
  </si>
  <si>
    <t>Busy Bees Pre-School</t>
  </si>
  <si>
    <t>DE22 2HE</t>
  </si>
  <si>
    <t>Busy Bees-Derby, Heatherton</t>
  </si>
  <si>
    <t>DE23 3TZ</t>
  </si>
  <si>
    <t>Carlton Private Day Nursery</t>
  </si>
  <si>
    <t>DE22 1GQ</t>
  </si>
  <si>
    <t>Childcare @ St James Centre</t>
  </si>
  <si>
    <t>EY396374</t>
  </si>
  <si>
    <t>Chuckles Pre-School Playgroup</t>
  </si>
  <si>
    <t>DE24 0RU</t>
  </si>
  <si>
    <t>Creative Steps (E Moore &amp; S Patton T/A)</t>
  </si>
  <si>
    <t>Awaiting Reg</t>
  </si>
  <si>
    <t>Derby Asian Women's Training Association Ltd</t>
  </si>
  <si>
    <t>EY471750</t>
  </si>
  <si>
    <t>EY432228</t>
  </si>
  <si>
    <t>EY260966</t>
  </si>
  <si>
    <t>EY240000</t>
  </si>
  <si>
    <t>EY350863</t>
  </si>
  <si>
    <t>New4</t>
  </si>
  <si>
    <t>New6</t>
  </si>
  <si>
    <t>EY336463</t>
  </si>
  <si>
    <t>EY251518</t>
  </si>
  <si>
    <t>New5</t>
  </si>
  <si>
    <t>EY369088</t>
  </si>
  <si>
    <t>EY464494</t>
  </si>
  <si>
    <t>EY340934</t>
  </si>
  <si>
    <t>EY205978</t>
  </si>
  <si>
    <t>New3</t>
  </si>
  <si>
    <t>EY225750</t>
  </si>
  <si>
    <t>EY360259</t>
  </si>
  <si>
    <t>EY268223</t>
  </si>
  <si>
    <t>New2</t>
  </si>
  <si>
    <t>EY278371</t>
  </si>
  <si>
    <t>EY206031</t>
  </si>
  <si>
    <t>EY347944</t>
  </si>
  <si>
    <t>EY335566</t>
  </si>
  <si>
    <t>EY299849</t>
  </si>
  <si>
    <t>EY318345</t>
  </si>
  <si>
    <t>Derby High School</t>
  </si>
  <si>
    <t>EY240925</t>
  </si>
  <si>
    <t>Derby Montessori School</t>
  </si>
  <si>
    <t>DE22 3LN</t>
  </si>
  <si>
    <t>EY218880</t>
  </si>
  <si>
    <t>Derwent Stepping Stones At Brackensdale</t>
  </si>
  <si>
    <t>New1</t>
  </si>
  <si>
    <t>Diamond Day PDN</t>
  </si>
  <si>
    <t>EY421215</t>
  </si>
  <si>
    <t>Elvaston Lane Pre-School Playgroup</t>
  </si>
  <si>
    <t>DE24 0PE</t>
  </si>
  <si>
    <t>Emmanuel School</t>
  </si>
  <si>
    <t>DE22 1FP</t>
  </si>
  <si>
    <t>EY345674</t>
  </si>
  <si>
    <t>Field Lane Playgroup Ltd</t>
  </si>
  <si>
    <t>DE24 0GW</t>
  </si>
  <si>
    <t>EY307423</t>
  </si>
  <si>
    <t>First Friends Private Day Nursery</t>
  </si>
  <si>
    <t>DE21 6HP</t>
  </si>
  <si>
    <t>First Steps Early Years Centre</t>
  </si>
  <si>
    <t>EY440848</t>
  </si>
  <si>
    <t>Heatherton Pre-School</t>
  </si>
  <si>
    <t>EY406182</t>
  </si>
  <si>
    <t>Homelands Early Years Centre</t>
  </si>
  <si>
    <t>EY440937</t>
  </si>
  <si>
    <t>Horwood Avenue Pre-School</t>
  </si>
  <si>
    <t>DE22 3PB</t>
  </si>
  <si>
    <t>Jack N Jill Nursery</t>
  </si>
  <si>
    <t>DE1 1RY</t>
  </si>
  <si>
    <t>EY384884</t>
  </si>
  <si>
    <t>King George V Pre-School</t>
  </si>
  <si>
    <t>DE23 6GT</t>
  </si>
  <si>
    <t>Kingfisher Day Nursery</t>
  </si>
  <si>
    <t>EY285324</t>
  </si>
  <si>
    <t>Kingfisher Day Nurser Pre-School And A</t>
  </si>
  <si>
    <t>EY285337</t>
  </si>
  <si>
    <t>Kingfisher Day Nursery (2)</t>
  </si>
  <si>
    <t>EY371448</t>
  </si>
  <si>
    <t>La Petite Academy</t>
  </si>
  <si>
    <t>DE23 1DG</t>
  </si>
  <si>
    <t>Leapfrog Day Nursery(1)</t>
  </si>
  <si>
    <t>DE21 2SF</t>
  </si>
  <si>
    <t>Leapfrogs Pre School</t>
  </si>
  <si>
    <t>DE73 6UT</t>
  </si>
  <si>
    <t>Little Acorns Nursery</t>
  </si>
  <si>
    <t>DE22 3LX</t>
  </si>
  <si>
    <t>Little Oaks</t>
  </si>
  <si>
    <t>EY425466</t>
  </si>
  <si>
    <t>Little Oaks Nursery and Out of School Club</t>
  </si>
  <si>
    <t>EY467587</t>
  </si>
  <si>
    <t>Little Poppies Pre-School ( Royal British</t>
  </si>
  <si>
    <t>DE3 9GB</t>
  </si>
  <si>
    <t>EY371611</t>
  </si>
  <si>
    <t>Little Scholars Private Day Nursery(1) Sunnyhill</t>
  </si>
  <si>
    <t>DE23 1GQ</t>
  </si>
  <si>
    <t>Little Scholars Private Day Nursery(2) Littleover</t>
  </si>
  <si>
    <t>DE23 3EY</t>
  </si>
  <si>
    <t>Littlesteps Pre- School</t>
  </si>
  <si>
    <t>DE23 6EP</t>
  </si>
  <si>
    <t>EY385725</t>
  </si>
  <si>
    <t>Little Steps Playschool C.I.C</t>
  </si>
  <si>
    <t>EY471706</t>
  </si>
  <si>
    <t>Mary Poppins Day Nursery</t>
  </si>
  <si>
    <t>DE3 9AJ</t>
  </si>
  <si>
    <t>Mickleover Methodist Playgroup</t>
  </si>
  <si>
    <t>DE3 9GH</t>
  </si>
  <si>
    <t>Oak House Nursery</t>
  </si>
  <si>
    <t>DE3 9FN</t>
  </si>
  <si>
    <t>EY304261</t>
  </si>
  <si>
    <t>Oaktree Day Nursery</t>
  </si>
  <si>
    <t>DE21 6ND</t>
  </si>
  <si>
    <t>Orchard Day Nursery And Nursery Scho</t>
  </si>
  <si>
    <t>DE73 5SB</t>
  </si>
  <si>
    <t>Orchard Nursery School(1)</t>
  </si>
  <si>
    <t>DE73 6RF</t>
  </si>
  <si>
    <t>Park Playgroup (the)</t>
  </si>
  <si>
    <t>DE21 6LN</t>
  </si>
  <si>
    <t>Play &amp; Learn</t>
  </si>
  <si>
    <t>DE23 6HB</t>
  </si>
  <si>
    <t>EY284120</t>
  </si>
  <si>
    <t>Play Corner - Day Nursery</t>
  </si>
  <si>
    <t>EY331291</t>
  </si>
  <si>
    <t>Playaway Nursery</t>
  </si>
  <si>
    <t>DE22 3HX</t>
  </si>
  <si>
    <t>EY261314</t>
  </si>
  <si>
    <t>Playdays Opportunity Group</t>
  </si>
  <si>
    <t>DE24 9RJ</t>
  </si>
  <si>
    <t>Positive Steps Childcare</t>
  </si>
  <si>
    <t>EY370198</t>
  </si>
  <si>
    <t>Pride at Arboretum</t>
  </si>
  <si>
    <t>DE24 8AJ</t>
  </si>
  <si>
    <t>EY461565</t>
  </si>
  <si>
    <t>Pride at Sunnyhill</t>
  </si>
  <si>
    <t>EY461568</t>
  </si>
  <si>
    <t>Pride Park Day Nursery</t>
  </si>
  <si>
    <t>EY283730</t>
  </si>
  <si>
    <t>Riverside Day Nursery - Asquith Court</t>
  </si>
  <si>
    <t>DE24 8HX</t>
  </si>
  <si>
    <t>EY283239</t>
  </si>
  <si>
    <t>Rosehill Early Years Centre</t>
  </si>
  <si>
    <t>EY440893</t>
  </si>
  <si>
    <t>Royal School For The Deaf</t>
  </si>
  <si>
    <t>DE22 3BH</t>
  </si>
  <si>
    <t>Rydale Childrens Centre P D N</t>
  </si>
  <si>
    <t>DE22 4EN</t>
  </si>
  <si>
    <t>EY370254</t>
  </si>
  <si>
    <t>Shelton Lock Pre-School</t>
  </si>
  <si>
    <t>DE24 9EJ</t>
  </si>
  <si>
    <t>EY347673</t>
  </si>
  <si>
    <t>Silver Trees Private Day Nursery</t>
  </si>
  <si>
    <t>DE22 3AD</t>
  </si>
  <si>
    <t>EY282326</t>
  </si>
  <si>
    <t>Sinfin Community Childcare</t>
  </si>
  <si>
    <t>DE24 9HG</t>
  </si>
  <si>
    <t>EY279508</t>
  </si>
  <si>
    <t>Sinfin Community Childcare at SCILLS Community Centre</t>
  </si>
  <si>
    <t>EY456892</t>
  </si>
  <si>
    <t>St Andrew's Pre-School Playgroup</t>
  </si>
  <si>
    <t>DE23 7PX</t>
  </si>
  <si>
    <t>St Edmunds Pre-School And Playgroup</t>
  </si>
  <si>
    <t>DE22 2NF</t>
  </si>
  <si>
    <t>St Joseph's R. C. Pre-School</t>
  </si>
  <si>
    <t>DE23 6SB</t>
  </si>
  <si>
    <t>St Paul's Church Hall Pre-School</t>
  </si>
  <si>
    <t>EY395637</t>
  </si>
  <si>
    <t>Sure Start Derwent Stepping Stones</t>
  </si>
  <si>
    <t>DE21 6AH</t>
  </si>
  <si>
    <t>EY330097</t>
  </si>
  <si>
    <t>The Cottage Private Day Nursery(1)</t>
  </si>
  <si>
    <t>DE22 3PD</t>
  </si>
  <si>
    <t>EY100960</t>
  </si>
  <si>
    <t>The Cottage Private Day Nursery(3)</t>
  </si>
  <si>
    <t>The Light House</t>
  </si>
  <si>
    <t>DE21 6AL</t>
  </si>
  <si>
    <t>EY359739</t>
  </si>
  <si>
    <t>The Orchard Garden Private Day Nurser</t>
  </si>
  <si>
    <t>DE1 1RX</t>
  </si>
  <si>
    <t>EY103452</t>
  </si>
  <si>
    <t>Tiny Tots Day Nursery</t>
  </si>
  <si>
    <t>DE24 0JP</t>
  </si>
  <si>
    <t>Treetops Private Day Nursery</t>
  </si>
  <si>
    <t>DE21 2DF</t>
  </si>
  <si>
    <t>Village Learning Centre Creche</t>
  </si>
  <si>
    <t>EY467205</t>
  </si>
  <si>
    <t>White House Kids Club</t>
  </si>
  <si>
    <t>DE72 3HB</t>
  </si>
  <si>
    <t>EY393352</t>
  </si>
  <si>
    <t>Whitehouse Day Nursery Limited</t>
  </si>
  <si>
    <t>EY431769</t>
  </si>
  <si>
    <t>White House Day Nursery Alvaston</t>
  </si>
  <si>
    <t>EY452684</t>
  </si>
  <si>
    <t>Woodlands Private Day Nursery</t>
  </si>
  <si>
    <t>DE22 1BJ</t>
  </si>
  <si>
    <t>Unallocated</t>
  </si>
  <si>
    <t>PVI Subtotal</t>
  </si>
  <si>
    <t>Summary PVI</t>
  </si>
  <si>
    <t>Hours</t>
  </si>
  <si>
    <t>Dep</t>
  </si>
  <si>
    <t>Vuln</t>
  </si>
  <si>
    <t>ERS Other LA Top up</t>
  </si>
  <si>
    <t>Stand Alone Nurseries</t>
  </si>
  <si>
    <t>Allestree Woodlands School KS4</t>
  </si>
  <si>
    <t>Lees Brook Community Sports College KS3</t>
  </si>
  <si>
    <t>Lees Brook Community Sports College KS4</t>
  </si>
  <si>
    <t>The Bemrose School KS3</t>
  </si>
  <si>
    <t>Saint Benedict Catholic Voluntary Academy KS4</t>
  </si>
  <si>
    <t>Lord St Nursery (Estimate only TBC Jan 2014)</t>
  </si>
  <si>
    <t>Total Nursery Formula</t>
  </si>
  <si>
    <t>Nursery Reconciliation</t>
  </si>
  <si>
    <t>Cottons Farm Primary School</t>
  </si>
  <si>
    <t>City of Derby Academy</t>
  </si>
  <si>
    <t>Landau Forte College</t>
  </si>
  <si>
    <t>Al Madinah</t>
  </si>
  <si>
    <t>Total TA Hours (if treated Academies same)</t>
  </si>
  <si>
    <t>TA Recco</t>
  </si>
  <si>
    <t>Nursery - excluding ERS &amp; TA</t>
  </si>
  <si>
    <t>Cotton's Farm Primary School</t>
  </si>
  <si>
    <t>Factor</t>
  </si>
  <si>
    <t>Description</t>
  </si>
  <si>
    <r>
      <t>Amount per pupil</t>
    </r>
    <r>
      <rPr>
        <sz val="10"/>
        <rFont val="Arial"/>
        <family val="2"/>
      </rPr>
      <t xml:space="preserve"> including Delegation for Schools Block LACSEG (£)</t>
    </r>
  </si>
  <si>
    <r>
      <t>De-delegation</t>
    </r>
    <r>
      <rPr>
        <sz val="10"/>
        <rFont val="Arial"/>
        <family val="2"/>
      </rPr>
      <t xml:space="preserve"> of Schools Block LACSEG (as agreed at Schools Forum)</t>
    </r>
  </si>
  <si>
    <t>Number of Pupils</t>
  </si>
  <si>
    <t>Sub total (£)</t>
  </si>
  <si>
    <t>1) Basic Entitlement - Age Weighted Pupil Funding (AWPU)</t>
  </si>
  <si>
    <t>Primary (including reception)</t>
  </si>
  <si>
    <t>Key Stage 3 (2012/13 level)</t>
  </si>
  <si>
    <t>Key Stage 4 (2012/13 level)</t>
  </si>
  <si>
    <t>Primary amount per pupil</t>
  </si>
  <si>
    <t>Secondary amount per pupil</t>
  </si>
  <si>
    <t>Number of eligible primary pupils</t>
  </si>
  <si>
    <t>Number of eligible secondary pupils</t>
  </si>
  <si>
    <t>2) Deprivation</t>
  </si>
  <si>
    <t>FSM Ever 6</t>
  </si>
  <si>
    <t>Amount per pupil</t>
  </si>
  <si>
    <t>Total (£)</t>
  </si>
  <si>
    <t>3) Looked After Children (LAC)</t>
  </si>
  <si>
    <t>4) Low cost, high incidence SEN (Prior Attainment)</t>
  </si>
  <si>
    <t>5) English as an Additional Language</t>
  </si>
  <si>
    <t>Primary pupils EAL funded for first 3 years in Statutory Education</t>
  </si>
  <si>
    <t>Secondary pupils EAL funded for first 3 years in Statutory Education</t>
  </si>
  <si>
    <t>6) Mobility</t>
  </si>
  <si>
    <t>Primary pupils included in the October School Census who did not start in August or September (Last 3 academic years)</t>
  </si>
  <si>
    <t>Secondary pupils included in the October School Census who did not start in August or September (Last 3 academic years)</t>
  </si>
  <si>
    <t>Amount of lump sum</t>
  </si>
  <si>
    <t>Number</t>
  </si>
  <si>
    <t>7) Lump Sum</t>
  </si>
  <si>
    <t>Amount of split site funding</t>
  </si>
  <si>
    <t>8) Split Site</t>
  </si>
  <si>
    <t>Amount of PFI funding</t>
  </si>
  <si>
    <t>Minimum Funding Guarantee (-1.5%)</t>
  </si>
  <si>
    <t>Minimum Funding Guarantee</t>
  </si>
  <si>
    <t>CAP</t>
  </si>
  <si>
    <t>Schools Block Total</t>
  </si>
  <si>
    <t>Additional Funding</t>
  </si>
  <si>
    <t>Contingency (PFI Budget Increase)</t>
  </si>
  <si>
    <t>TA Hours funding (£)</t>
  </si>
  <si>
    <t>TA Hours out of catchment funding £</t>
  </si>
  <si>
    <t>TA Hours out of Catchment</t>
  </si>
  <si>
    <t>DfE No or Ofsted ID</t>
  </si>
  <si>
    <t>1. Base Rate(s) per hour, per provider type.   Setting Type</t>
  </si>
  <si>
    <t>Amount (£)</t>
  </si>
  <si>
    <t>Number of units</t>
  </si>
  <si>
    <t>Anticipated Total Budget (£)</t>
  </si>
  <si>
    <t>per hour</t>
  </si>
  <si>
    <t>S = Stand Alone Maintained Nursery School</t>
  </si>
  <si>
    <t>P = Pre School</t>
  </si>
  <si>
    <t>D = Day Nursery</t>
  </si>
  <si>
    <t>Deprivation (Mandatory) Supplement</t>
  </si>
  <si>
    <t>Unit</t>
  </si>
  <si>
    <t>Number of weeks</t>
  </si>
  <si>
    <t>IMD</t>
  </si>
  <si>
    <t>Vulnerable Children</t>
  </si>
  <si>
    <t>Quality Supplements</t>
  </si>
  <si>
    <t xml:space="preserve">Unit </t>
  </si>
  <si>
    <t>lump sum</t>
  </si>
  <si>
    <t>3. Other formula
factors and lump sums (if applicable)</t>
  </si>
  <si>
    <t>Base for Stand Alone Maintained Nurseries</t>
  </si>
  <si>
    <t>ERS for Stand Alone Maintained Nurseries</t>
  </si>
  <si>
    <t>TA Hours for Stand Alone Maintained Nurseries</t>
  </si>
  <si>
    <t>De-Delegation</t>
  </si>
  <si>
    <t>Indicative Sixth Form (not yet known)</t>
  </si>
  <si>
    <t>All Specials</t>
  </si>
  <si>
    <t>DFE</t>
  </si>
  <si>
    <t>Places</t>
  </si>
  <si>
    <t>Rate</t>
  </si>
  <si>
    <t>Residential Places</t>
  </si>
  <si>
    <t>CLICK ON THE ARROW BUTTON TO SELECT YOUR SCHOOL FROM THE LIST</t>
  </si>
  <si>
    <t>ALL</t>
  </si>
  <si>
    <t>PRU</t>
  </si>
  <si>
    <t>Specials</t>
  </si>
  <si>
    <t>Special</t>
  </si>
  <si>
    <t>Place led funding - Special Schools Post 16</t>
  </si>
  <si>
    <t>Place led funding - Alternative Provision Post 16</t>
  </si>
  <si>
    <t xml:space="preserve">Sub Total </t>
  </si>
  <si>
    <t>See separate breakdown sheet</t>
  </si>
  <si>
    <t>Ivy House School</t>
  </si>
  <si>
    <t>E400101</t>
  </si>
  <si>
    <t>St Andrew's School</t>
  </si>
  <si>
    <t>E400201</t>
  </si>
  <si>
    <t>St Clare's School</t>
  </si>
  <si>
    <t>E400301</t>
  </si>
  <si>
    <t>St Giles' School</t>
  </si>
  <si>
    <t>E400401</t>
  </si>
  <si>
    <t>E400501</t>
  </si>
  <si>
    <t>KS3/4 PRU</t>
  </si>
  <si>
    <t>KS1/2 PRU</t>
  </si>
  <si>
    <t>E500101</t>
  </si>
  <si>
    <t>E500202</t>
  </si>
  <si>
    <t>E400601</t>
  </si>
  <si>
    <t>Figures not yet confirmed</t>
  </si>
  <si>
    <t>RATES</t>
  </si>
  <si>
    <t>TA Out of Catchment for Stand Alone Nurseries</t>
  </si>
  <si>
    <t>ERS Pupils</t>
  </si>
  <si>
    <t>Schools Block Funding 2014/15</t>
  </si>
  <si>
    <t>Graduate Leader £80K pot (per application process)</t>
  </si>
  <si>
    <t>Derby City Childminding Network - AW</t>
  </si>
  <si>
    <t>Derby City Childminding Network - AR</t>
  </si>
  <si>
    <t>Derby City Childminding Network - AJH</t>
  </si>
  <si>
    <t>Derby City Childminding Network - CJH</t>
  </si>
  <si>
    <t>Derby City Childminding Network - DK</t>
  </si>
  <si>
    <t>Derby City Childminding Network - HMB</t>
  </si>
  <si>
    <t>Derby City Childminding Network - JMS</t>
  </si>
  <si>
    <t>Derby City Childminding Network - KW</t>
  </si>
  <si>
    <t>Derby City Childminding Network - LKD</t>
  </si>
  <si>
    <t>Derby City Childminding Network - RW</t>
  </si>
  <si>
    <t>Derby City Childminding Network - RSW</t>
  </si>
  <si>
    <t>Derby City Childminding Network - RP</t>
  </si>
  <si>
    <t>Derby City Childminding Network  - SCV</t>
  </si>
  <si>
    <t>Derby City Childminding Network - SLB</t>
  </si>
  <si>
    <t>Derby City Childminding Network - TLA</t>
  </si>
  <si>
    <t>Derby City Childminding Network - WJW</t>
  </si>
  <si>
    <t>E300101</t>
  </si>
  <si>
    <t>Total TA Funding (no OOC as yet)</t>
  </si>
  <si>
    <t>High Needs - TA</t>
  </si>
  <si>
    <t>High High Needs ERS</t>
  </si>
  <si>
    <t>Retospective Hours</t>
  </si>
  <si>
    <t>Prior Year Adjustment relating to 2012-13</t>
  </si>
  <si>
    <t>rounding</t>
  </si>
  <si>
    <t>Toal Budget including high needs</t>
  </si>
  <si>
    <t>Original Budget</t>
  </si>
  <si>
    <t>Change</t>
  </si>
  <si>
    <t>Notional AEN</t>
  </si>
  <si>
    <t>Early Years</t>
  </si>
  <si>
    <t>High Needs</t>
  </si>
  <si>
    <t>0</t>
  </si>
  <si>
    <t>in year adjustment</t>
  </si>
  <si>
    <t>Stand alone maintained</t>
  </si>
  <si>
    <t>Original estimate</t>
  </si>
  <si>
    <t>Estimated Budget 13-14</t>
  </si>
  <si>
    <t xml:space="preserve">Change </t>
  </si>
  <si>
    <t>Hrly Rate</t>
  </si>
  <si>
    <t>Min Hrly Rate</t>
  </si>
  <si>
    <t>Difference</t>
  </si>
  <si>
    <t>PVI Quality Factor</t>
  </si>
  <si>
    <t>Original</t>
  </si>
  <si>
    <t>sum checker</t>
  </si>
  <si>
    <t>TA Hours OOC</t>
  </si>
  <si>
    <t>Pre 16</t>
  </si>
  <si>
    <t>Post 16</t>
  </si>
  <si>
    <t>DCC Top Up</t>
  </si>
  <si>
    <t>Other LA Top up</t>
  </si>
  <si>
    <t>ERS - Other</t>
  </si>
  <si>
    <t>amended 4/2/14 - removed Dep funding</t>
  </si>
  <si>
    <t>Number of Pupils (Net of High Needs Places)</t>
  </si>
  <si>
    <t>Fixed in 13-14</t>
  </si>
  <si>
    <r>
      <t>Net AWPU after de-delegation</t>
    </r>
    <r>
      <rPr>
        <sz val="10"/>
        <rFont val="Arial"/>
        <family val="2"/>
      </rPr>
      <t xml:space="preserve"> (Maintained Only)</t>
    </r>
  </si>
  <si>
    <t>De-delegation Primary</t>
  </si>
  <si>
    <t>De-delegation KS3</t>
  </si>
  <si>
    <t>De-delegation KS4</t>
  </si>
  <si>
    <t>Academy</t>
  </si>
  <si>
    <t>All through School uses Secondary de-delegation rate</t>
  </si>
  <si>
    <t>Primary AWPU</t>
  </si>
  <si>
    <t>KS3 AWPU</t>
  </si>
  <si>
    <t>KS4 AWPU</t>
  </si>
  <si>
    <t xml:space="preserve">Net Primary </t>
  </si>
  <si>
    <t>Net KS3</t>
  </si>
  <si>
    <t>Net KS4</t>
  </si>
  <si>
    <t>IDACI 1</t>
  </si>
  <si>
    <t>IDACI 2</t>
  </si>
  <si>
    <t>IDACI 3</t>
  </si>
  <si>
    <t>IDACI 4</t>
  </si>
  <si>
    <t>IDACI 5</t>
  </si>
  <si>
    <t>IDACI 6</t>
  </si>
  <si>
    <t>FSM E6</t>
  </si>
  <si>
    <t>Notional SEN %</t>
  </si>
  <si>
    <t>Notional SEN within School Budget £</t>
  </si>
  <si>
    <t>School Budget INCLUDING Early Years, Schools Block and High Needs, KS1 Class Factor, Contingency, &amp; INCLUDING RATES</t>
  </si>
  <si>
    <t>School Budget INCLUDING Early Years, Schools Block and High Needs, KS1 Class Factor, Contingency, &amp; EXCLUDING RATES</t>
  </si>
  <si>
    <t>Total Notional SEN within School Funding</t>
  </si>
  <si>
    <t>See Separate breakdown</t>
  </si>
  <si>
    <t xml:space="preserve">Per LAC child </t>
  </si>
  <si>
    <t>Secondary pupils not achieving KS2 level 4 English or Maths</t>
  </si>
  <si>
    <t>£100K Primary £150K Secondary</t>
  </si>
  <si>
    <t>KS1 Class Factor (Teacher required for 1:30 pupils ratio)</t>
  </si>
  <si>
    <t>May 2014 Term Hours</t>
  </si>
  <si>
    <t>Oct 2014 Term Hours</t>
  </si>
  <si>
    <t>Jan 2014 Term Hours</t>
  </si>
  <si>
    <t>Early Years, Schools and High Needs Block Formula Budgets 2014/15</t>
  </si>
  <si>
    <t>RATES 2013-14 adjustment to match invoice received</t>
  </si>
  <si>
    <t>RATES 2014-15</t>
  </si>
  <si>
    <t>AWPU After De-Delegation</t>
  </si>
  <si>
    <t>Rates 13-14 Adj</t>
  </si>
  <si>
    <t>PFI to be paid back to the LA</t>
  </si>
  <si>
    <t xml:space="preserve">Place led funding - Special Schools Pre 16 </t>
  </si>
  <si>
    <t xml:space="preserve">Place led funding - Alternative Provision Pre 16 </t>
  </si>
  <si>
    <t>Indicative ERS Pupils Top up funding</t>
  </si>
  <si>
    <t>ERS Place Rate</t>
  </si>
  <si>
    <t xml:space="preserve">Place led funding - ERS Pre 16 </t>
  </si>
  <si>
    <t>Place led funding - ERS Post 16</t>
  </si>
  <si>
    <t>Including both Pre 16 &amp; Post 16 Funding</t>
  </si>
  <si>
    <t>ERS Pupil Top up funding</t>
  </si>
  <si>
    <t>£62,372 was given in year in 2013-14</t>
  </si>
  <si>
    <t>PVI</t>
  </si>
  <si>
    <t>Schools</t>
  </si>
  <si>
    <t>Net Rates</t>
  </si>
  <si>
    <t>KS1</t>
  </si>
  <si>
    <t>Grand Total</t>
  </si>
  <si>
    <t>Rec</t>
  </si>
  <si>
    <t>Plus Special</t>
  </si>
  <si>
    <t>Special &amp; Pru</t>
  </si>
  <si>
    <t>excl Nurs</t>
  </si>
  <si>
    <t>M = Maintained Nursery at a School / Academy</t>
  </si>
  <si>
    <t>Total Nursery</t>
  </si>
  <si>
    <t>St Martins School including Horizons</t>
  </si>
  <si>
    <t>Nursery TA OOC</t>
  </si>
  <si>
    <t>Nursery TA</t>
  </si>
  <si>
    <t>Total incl Rates</t>
  </si>
  <si>
    <t>Other LA TP &amp; Sixth Form</t>
  </si>
  <si>
    <t>Early Years Nursery Funding 2014/15</t>
  </si>
  <si>
    <t>High Needs Formula Budget 2014/15</t>
  </si>
  <si>
    <t>Key Stage 3</t>
  </si>
  <si>
    <t>Key Stage 4</t>
  </si>
  <si>
    <t>Please select your School or Nursery Setting Name in the cell below</t>
  </si>
  <si>
    <t>Derby City Childminding Network - CM</t>
  </si>
  <si>
    <t>Derby City Childminding Network - CP</t>
  </si>
  <si>
    <t>Derby City Childminding Network - C H-P</t>
  </si>
  <si>
    <t>Derby City Childminding Network - HS</t>
  </si>
  <si>
    <t>Derby City Childminding Network - KU</t>
  </si>
  <si>
    <t>Derby City Childminding Network - MH</t>
  </si>
  <si>
    <t>Derby City Childminding Network - SM</t>
  </si>
  <si>
    <t>Derby City Childminding Network - NJ</t>
  </si>
  <si>
    <t>Derby City Childminding Network - PW</t>
  </si>
  <si>
    <t>Derby City Childminding Network - RF</t>
  </si>
  <si>
    <t>Derby City Childminding Network - SJT</t>
  </si>
  <si>
    <t>Derby City Childminding Network - SR</t>
  </si>
  <si>
    <t>Derby City Childminding Network - JA</t>
  </si>
  <si>
    <t>Derby City Childminding Network - ZB</t>
  </si>
  <si>
    <t>Derby City Childminding Network - AJA</t>
  </si>
  <si>
    <t>Derby City Childminding Network - UK</t>
  </si>
  <si>
    <t>Derby City Childminding Network - RS</t>
  </si>
  <si>
    <t>Derby City Childminding Network - SCV</t>
  </si>
  <si>
    <t>E202101</t>
  </si>
  <si>
    <t>Landau Forte College (Fox Street)</t>
  </si>
  <si>
    <t>*Please note that High Needs top up funding follows the pupil, therefore funding will be adjusted in year where there are pupil movements</t>
  </si>
  <si>
    <t>High Needs Funding from Derby City / EFA*</t>
  </si>
  <si>
    <r>
      <t>Other LA Top up funding</t>
    </r>
    <r>
      <rPr>
        <sz val="12"/>
        <rFont val="Arial"/>
        <family val="2"/>
      </rPr>
      <t xml:space="preserve"> (Income not Budget)</t>
    </r>
    <r>
      <rPr>
        <b/>
        <sz val="12"/>
        <rFont val="Arial"/>
        <family val="2"/>
      </rPr>
      <t>*</t>
    </r>
  </si>
  <si>
    <t>Derby City Pupils Top up funding Pre &amp; Post 16*</t>
  </si>
  <si>
    <t xml:space="preserve">TOTAL FUNDING FOR EARLY YEARS SINGLE FUNDING FORMULA* </t>
  </si>
  <si>
    <t>Special School</t>
  </si>
  <si>
    <t>Please select your school in the cell below</t>
  </si>
  <si>
    <t>High Needs Formula Indicative 2014/15</t>
  </si>
  <si>
    <t>High Needs Funding from Derby City LA / EFA*</t>
  </si>
  <si>
    <t>Derby City Pupils Top up funding Pre 16*</t>
  </si>
  <si>
    <t>Derby City Pupils Top up funding Post 16*</t>
  </si>
  <si>
    <t>No.of Pupils</t>
  </si>
  <si>
    <t>All data columns updated for final EFA Data Dec 2013</t>
  </si>
  <si>
    <t>Primary excl HN</t>
  </si>
  <si>
    <t>Secondary exc HN</t>
  </si>
  <si>
    <t>Ever6_Pri</t>
  </si>
  <si>
    <t>Ever6_sec</t>
  </si>
  <si>
    <t>Primary FSM Ever 6</t>
  </si>
  <si>
    <t>Secondary FSM Ever 6</t>
  </si>
  <si>
    <t>Primary IDACI Band 1 0.2 - 0.25</t>
  </si>
  <si>
    <t>Secondary IDACI Band 1 0.2 - 0.25</t>
  </si>
  <si>
    <t>Primary IDACI Band 2 0.25 - 0.3</t>
  </si>
  <si>
    <t>Secondary IDACI Band 2 0.25 - 0.3</t>
  </si>
  <si>
    <t>Primary IDACI Band 3 0.3 - 0.4</t>
  </si>
  <si>
    <t>Secondary IDACI Band 3 0.3 - 0.4</t>
  </si>
  <si>
    <t>Primary IDACI Band 4 0.4 - 0.5</t>
  </si>
  <si>
    <t>Secondary IDACI Band 4 0.4 - 0.5</t>
  </si>
  <si>
    <t>Primary IDACI Band 5 0.5 - 0.6</t>
  </si>
  <si>
    <t>Secondary IDACI Band 5 0.5 - 0.6</t>
  </si>
  <si>
    <t>Primary IDACI Band 6 0.6 -1.0</t>
  </si>
  <si>
    <t>Secondary IDACI Band 6 0.6 -1.0</t>
  </si>
  <si>
    <t>Primary EAL 3</t>
  </si>
  <si>
    <t>Secondary EAL 3</t>
  </si>
  <si>
    <t>Primary Threshold Calc</t>
  </si>
  <si>
    <t>Secondary Threshold Calc</t>
  </si>
  <si>
    <t>LAC any</t>
  </si>
  <si>
    <t>LAC 6</t>
  </si>
  <si>
    <t>Secondary Low Prior Attainment</t>
  </si>
  <si>
    <t>Moorhead Primary Academy</t>
  </si>
  <si>
    <t>City of Derby / Sinfin Community School</t>
  </si>
  <si>
    <t>Woodlands School</t>
  </si>
  <si>
    <t>Derby LA Schools &amp; Recoupment Academies</t>
  </si>
  <si>
    <t>Total including Non Rceoupment</t>
  </si>
  <si>
    <t>For information only</t>
  </si>
  <si>
    <t>Adjustment made in 2013-14 financial year</t>
  </si>
  <si>
    <t>*Please note Early Years budgets are adjusted for actual hour take up in year</t>
  </si>
  <si>
    <t>FINAL Early Years Single Formula 2013-14</t>
  </si>
  <si>
    <t>Boulton Primary School /Wyndham</t>
  </si>
  <si>
    <t>Breadsall Hill Top Primary School (to update codes)</t>
  </si>
  <si>
    <t>EY467609</t>
  </si>
  <si>
    <t>Derby City Childminding Network - Aiden James Allen</t>
  </si>
  <si>
    <t>Derby City Childminding Network - Alison Whiteman</t>
  </si>
  <si>
    <t>Derby City Childminding Network - Amanda Reeves</t>
  </si>
  <si>
    <t>Derby City Childminding Network - Angela Jane Hatton</t>
  </si>
  <si>
    <t xml:space="preserve">Derby City Childminding Network - Celia Murfin </t>
  </si>
  <si>
    <t>EY421552</t>
  </si>
  <si>
    <t>Derby City Childminding Network - Claire-Ellen Oakley</t>
  </si>
  <si>
    <t>EY412756</t>
  </si>
  <si>
    <t>Derby City Childminding Network - Christine Julie Heathcote</t>
  </si>
  <si>
    <t>Derby City Childminding Network - Cheryll Lesley Haywood-Phillips</t>
  </si>
  <si>
    <t>Derby City Childminding Network - Debra Kydd</t>
  </si>
  <si>
    <t>Derby City Childminding Network - Helen Marie Brennan</t>
  </si>
  <si>
    <t xml:space="preserve">Derby City Childminding Network - Helen Samuels </t>
  </si>
  <si>
    <t>Derby City Childminding Network - Jacqueline Anne Berry</t>
  </si>
  <si>
    <t>EY370868</t>
  </si>
  <si>
    <t>Derby City Childminding Network - Joanne Margaret Shakespeare</t>
  </si>
  <si>
    <t>Derby City Childminding Network - Kay Walker</t>
  </si>
  <si>
    <t>Derby City Childminding Network - Lloyd Kay Dawn</t>
  </si>
  <si>
    <t>Derby City Childminding Network - Michelle Hemmings</t>
  </si>
  <si>
    <t xml:space="preserve">Derby City Childminding Network - Nicola Caroline Johnson </t>
  </si>
  <si>
    <t>EY396733</t>
  </si>
  <si>
    <t>Derby City Childminding Network - Paul Steven Massey</t>
  </si>
  <si>
    <t>EY405054</t>
  </si>
  <si>
    <t>Derby City Childminding Network - Peter Wells</t>
  </si>
  <si>
    <t>Derby City Childminding Network - Phillipa Chambers</t>
  </si>
  <si>
    <t>EY453657</t>
  </si>
  <si>
    <t>Derby City Childminding Network - Rachel Wiggins</t>
  </si>
  <si>
    <t>Derby City Childminding Network - Rosalyn Phillips</t>
  </si>
  <si>
    <t xml:space="preserve">Derby City Childminding Network - Rebecca Fulleylove </t>
  </si>
  <si>
    <t>EY395288</t>
  </si>
  <si>
    <t>Derby City Childminding Network - Rebecca Sarah Wall</t>
  </si>
  <si>
    <t>Derby City Childminding Network - Rosie Stevens</t>
  </si>
  <si>
    <t>Derby City Childminding Network - Sandra White</t>
  </si>
  <si>
    <t>Derby City Childminding Network - Sara Mycroft</t>
  </si>
  <si>
    <t>Derby City Childminding Network - Sharron Julie Taylor</t>
  </si>
  <si>
    <t>Derby City Childminding Network - Susie Catherine Vere</t>
  </si>
  <si>
    <t>Derby City Childminding Network - Suzette Louise Bryden</t>
  </si>
  <si>
    <t>Derby City Childminding Network - Tamasine Louise Ashforth</t>
  </si>
  <si>
    <t>Derby City Childminding Network - Urszula Ksiazek</t>
  </si>
  <si>
    <t>Derby City Childminding Network - Wendy Jane Wheawall</t>
  </si>
  <si>
    <t>Derby City Childminding Network - Zena Brotherson</t>
  </si>
  <si>
    <t>Derwent Stepping Stones at Brackensdale</t>
  </si>
  <si>
    <t>EY460372</t>
  </si>
  <si>
    <t>Little Angels Playschool C.I.C</t>
  </si>
  <si>
    <t>Osmaston Family Project</t>
  </si>
  <si>
    <t>Playcorner Nursery</t>
  </si>
  <si>
    <t>EY474393</t>
  </si>
  <si>
    <t>Schools Out</t>
  </si>
  <si>
    <t>EY466991</t>
  </si>
  <si>
    <t>2013-14 Original Budget</t>
  </si>
  <si>
    <t xml:space="preserve">Revised 2013-14 Budget </t>
  </si>
  <si>
    <t>excluding academies</t>
  </si>
  <si>
    <t>Adjustment for actual hours delivered in 2013-14</t>
  </si>
  <si>
    <t xml:space="preserve">Now updated for final census nursery hours </t>
  </si>
  <si>
    <t>In Year Nursery Adjustment</t>
  </si>
  <si>
    <t>updated</t>
  </si>
  <si>
    <t>Indicative Sixth Form (updated April 2014 for Maintained)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</si>
</sst>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0.0%"/>
    <numFmt numFmtId="166" formatCode="&quot;£&quot;#,##0.00"/>
    <numFmt numFmtId="167" formatCode="#,##0_ ;[Red]\-#,##0\ "/>
    <numFmt numFmtId="168" formatCode="_(&quot;$&quot;* #,##0.00_);_(&quot;$&quot;* \(#,##0.00\);_(&quot;$&quot;* &quot;-&quot;??_);_(@_)"/>
    <numFmt numFmtId="169" formatCode="#,##0.00000"/>
    <numFmt numFmtId="170" formatCode="#,##0.00_ ;[Red]\-#,##0.00\ "/>
    <numFmt numFmtId="171" formatCode="_-* #,##0_-;\-* #,##0_-;_-* &quot;-&quot;??_-;_-@_-"/>
    <numFmt numFmtId="172" formatCode="#,##0.0000"/>
    <numFmt numFmtId="173" formatCode="#,##0.0000000000"/>
    <numFmt numFmtId="174" formatCode="#,##0.0_ ;[Red]\-#,##0.0\ "/>
    <numFmt numFmtId="175" formatCode="0.0"/>
  </numFmts>
  <fonts count="55" x14ac:knownFonts="1">
    <font>
      <sz val="10"/>
      <color theme="1"/>
      <name val="Arial"/>
      <family val="2"/>
    </font>
    <font>
      <sz val="10"/>
      <color theme="1"/>
      <name val="Arial"/>
      <family val="2"/>
    </font>
    <font>
      <b/>
      <sz val="10"/>
      <color theme="1"/>
      <name val="Arial"/>
      <family val="2"/>
    </font>
    <font>
      <b/>
      <u/>
      <sz val="14"/>
      <color indexed="18"/>
      <name val="Arial"/>
      <family val="2"/>
    </font>
    <font>
      <b/>
      <sz val="12"/>
      <name val="Arial"/>
      <family val="2"/>
    </font>
    <font>
      <b/>
      <sz val="12"/>
      <color indexed="8"/>
      <name val="Arial"/>
      <family val="2"/>
    </font>
    <font>
      <sz val="10"/>
      <color indexed="8"/>
      <name val="Arial"/>
      <family val="2"/>
    </font>
    <font>
      <i/>
      <sz val="12"/>
      <name val="Arial"/>
      <family val="2"/>
    </font>
    <font>
      <b/>
      <sz val="10"/>
      <name val="Arial"/>
      <family val="2"/>
    </font>
    <font>
      <sz val="12"/>
      <name val="Arial"/>
      <family val="2"/>
    </font>
    <font>
      <sz val="11"/>
      <name val="Arial"/>
      <family val="2"/>
    </font>
    <font>
      <sz val="12"/>
      <color indexed="9"/>
      <name val="Arial"/>
      <family val="2"/>
    </font>
    <font>
      <sz val="10"/>
      <name val="Arial"/>
      <family val="2"/>
    </font>
    <font>
      <sz val="10"/>
      <color indexed="9"/>
      <name val="Arial"/>
      <family val="2"/>
    </font>
    <font>
      <sz val="11"/>
      <color indexed="10"/>
      <name val="Arial"/>
      <family val="2"/>
    </font>
    <font>
      <b/>
      <sz val="12"/>
      <color indexed="10"/>
      <name val="Arial"/>
      <family val="2"/>
    </font>
    <font>
      <b/>
      <sz val="12"/>
      <color indexed="9"/>
      <name val="Arial"/>
      <family val="2"/>
    </font>
    <font>
      <b/>
      <sz val="12"/>
      <color indexed="53"/>
      <name val="Arial"/>
      <family val="2"/>
    </font>
    <font>
      <i/>
      <sz val="12"/>
      <color indexed="62"/>
      <name val="Arial"/>
      <family val="2"/>
    </font>
    <font>
      <i/>
      <sz val="12"/>
      <color indexed="18"/>
      <name val="Arial"/>
      <family val="2"/>
    </font>
    <font>
      <b/>
      <sz val="10"/>
      <color indexed="9"/>
      <name val="Arial"/>
      <family val="2"/>
    </font>
    <font>
      <b/>
      <sz val="12"/>
      <color indexed="62"/>
      <name val="Arial"/>
      <family val="2"/>
    </font>
    <font>
      <b/>
      <i/>
      <sz val="12"/>
      <color indexed="62"/>
      <name val="Arial"/>
      <family val="2"/>
    </font>
    <font>
      <sz val="12"/>
      <color indexed="8"/>
      <name val="Arial"/>
      <family val="2"/>
    </font>
    <font>
      <b/>
      <sz val="10"/>
      <color indexed="10"/>
      <name val="Arial"/>
      <family val="2"/>
    </font>
    <font>
      <sz val="10"/>
      <color indexed="10"/>
      <name val="Arial"/>
      <family val="2"/>
    </font>
    <font>
      <b/>
      <sz val="8"/>
      <name val="Arial"/>
      <family val="2"/>
    </font>
    <font>
      <sz val="8"/>
      <name val="Arial"/>
      <family val="2"/>
    </font>
    <font>
      <sz val="9"/>
      <color indexed="81"/>
      <name val="Tahoma"/>
      <family val="2"/>
    </font>
    <font>
      <b/>
      <sz val="9"/>
      <color indexed="81"/>
      <name val="Tahoma"/>
      <family val="2"/>
    </font>
    <font>
      <sz val="11"/>
      <name val="Calibri"/>
      <family val="2"/>
      <scheme val="minor"/>
    </font>
    <font>
      <sz val="10"/>
      <color indexed="21"/>
      <name val="System"/>
      <family val="2"/>
    </font>
    <font>
      <sz val="9"/>
      <color indexed="18"/>
      <name val="Arial"/>
      <family val="2"/>
    </font>
    <font>
      <sz val="10"/>
      <color indexed="18"/>
      <name val="System"/>
      <family val="2"/>
    </font>
    <font>
      <i/>
      <sz val="10"/>
      <color indexed="17"/>
      <name val="System"/>
      <family val="2"/>
    </font>
    <font>
      <sz val="11"/>
      <color indexed="8"/>
      <name val="Calibri"/>
      <family val="2"/>
    </font>
    <font>
      <sz val="11"/>
      <color theme="1"/>
      <name val="Calibri"/>
      <family val="2"/>
      <scheme val="minor"/>
    </font>
    <font>
      <sz val="10"/>
      <color indexed="14"/>
      <name val="System"/>
      <family val="2"/>
    </font>
    <font>
      <sz val="9"/>
      <name val="Arial"/>
      <family val="2"/>
    </font>
    <font>
      <sz val="10"/>
      <color indexed="17"/>
      <name val="System"/>
      <family val="2"/>
    </font>
    <font>
      <b/>
      <sz val="11"/>
      <color theme="1"/>
      <name val="Calibri"/>
      <family val="2"/>
      <scheme val="minor"/>
    </font>
    <font>
      <b/>
      <sz val="11"/>
      <name val="Calibri"/>
      <family val="2"/>
      <scheme val="minor"/>
    </font>
    <font>
      <sz val="10"/>
      <color rgb="FFFF0000"/>
      <name val="Arial"/>
      <family val="2"/>
    </font>
    <font>
      <b/>
      <sz val="11"/>
      <name val="Arial"/>
      <family val="2"/>
    </font>
    <font>
      <b/>
      <sz val="11"/>
      <color indexed="48"/>
      <name val="Arial"/>
      <family val="2"/>
    </font>
    <font>
      <sz val="11"/>
      <color rgb="FFFF0000"/>
      <name val="Calibri"/>
      <family val="2"/>
      <scheme val="minor"/>
    </font>
    <font>
      <b/>
      <sz val="8"/>
      <color indexed="81"/>
      <name val="Tahoma"/>
      <family val="2"/>
    </font>
    <font>
      <sz val="8"/>
      <color indexed="81"/>
      <name val="Tahoma"/>
      <family val="2"/>
    </font>
    <font>
      <sz val="10"/>
      <name val="Arial"/>
      <family val="2"/>
    </font>
    <font>
      <b/>
      <sz val="10"/>
      <color indexed="23"/>
      <name val="Arial"/>
      <family val="2"/>
    </font>
    <font>
      <sz val="10"/>
      <color indexed="23"/>
      <name val="Arial"/>
      <family val="2"/>
    </font>
    <font>
      <b/>
      <sz val="10"/>
      <color indexed="55"/>
      <name val="Arial"/>
      <family val="2"/>
    </font>
    <font>
      <sz val="10"/>
      <color indexed="55"/>
      <name val="Arial"/>
      <family val="2"/>
    </font>
    <font>
      <sz val="12"/>
      <color indexed="55"/>
      <name val="Arial"/>
      <family val="2"/>
    </font>
    <font>
      <sz val="12"/>
      <color theme="1"/>
      <name val="Calibri"/>
      <family val="2"/>
      <scheme val="minor"/>
    </font>
  </fonts>
  <fills count="3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indexed="42"/>
        <bgColor indexed="64"/>
      </patternFill>
    </fill>
    <fill>
      <patternFill patternType="gray125">
        <fgColor indexed="8"/>
        <bgColor indexed="43"/>
      </patternFill>
    </fill>
    <fill>
      <patternFill patternType="solid">
        <fgColor indexed="42"/>
        <bgColor indexed="8"/>
      </patternFill>
    </fill>
    <fill>
      <patternFill patternType="solid">
        <fgColor rgb="FFFFC000"/>
        <bgColor indexed="64"/>
      </patternFill>
    </fill>
    <fill>
      <patternFill patternType="solid">
        <fgColor indexed="43"/>
        <bgColor indexed="64"/>
      </patternFill>
    </fill>
    <fill>
      <patternFill patternType="solid">
        <fgColor indexed="45"/>
        <bgColor indexed="64"/>
      </patternFill>
    </fill>
    <fill>
      <patternFill patternType="solid">
        <fgColor theme="8" tint="0.39997558519241921"/>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46"/>
        <bgColor indexed="64"/>
      </patternFill>
    </fill>
    <fill>
      <patternFill patternType="solid">
        <fgColor theme="0"/>
        <bgColor indexed="8"/>
      </patternFill>
    </fill>
    <fill>
      <patternFill patternType="solid">
        <fgColor rgb="FFFCD5B4"/>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39E739"/>
        <bgColor indexed="64"/>
      </patternFill>
    </fill>
    <fill>
      <patternFill patternType="solid">
        <fgColor rgb="FF72E5FC"/>
        <bgColor indexed="64"/>
      </patternFill>
    </fill>
    <fill>
      <patternFill patternType="solid">
        <fgColor rgb="FFE8F37B"/>
        <bgColor indexed="64"/>
      </patternFill>
    </fill>
    <fill>
      <patternFill patternType="solid">
        <fgColor theme="0" tint="-4.9989318521683403E-2"/>
        <bgColor indexed="64"/>
      </patternFill>
    </fill>
    <fill>
      <patternFill patternType="solid">
        <fgColor rgb="FFC3A9BF"/>
        <bgColor indexed="64"/>
      </patternFill>
    </fill>
    <fill>
      <patternFill patternType="solid">
        <fgColor indexed="15"/>
        <bgColor indexed="64"/>
      </patternFill>
    </fill>
  </fills>
  <borders count="8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hair">
        <color indexed="64"/>
      </top>
      <bottom style="hair">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44">
    <xf numFmtId="0" fontId="0" fillId="0" borderId="0"/>
    <xf numFmtId="0" fontId="12" fillId="0" borderId="0"/>
    <xf numFmtId="9" fontId="12" fillId="0" borderId="0" applyFont="0" applyFill="0" applyBorder="0" applyAlignment="0" applyProtection="0"/>
    <xf numFmtId="0" fontId="12" fillId="0" borderId="0"/>
    <xf numFmtId="0" fontId="26" fillId="0" borderId="0">
      <alignment horizontal="center" vertical="center" wrapText="1"/>
    </xf>
    <xf numFmtId="0" fontId="27" fillId="0" borderId="20">
      <alignment horizontal="center" vertical="center" wrapText="1"/>
    </xf>
    <xf numFmtId="0" fontId="26" fillId="0" borderId="0">
      <alignment horizontal="left" wrapText="1"/>
    </xf>
    <xf numFmtId="0" fontId="27" fillId="0" borderId="0">
      <alignment horizontal="left" vertical="center"/>
    </xf>
    <xf numFmtId="0" fontId="27" fillId="0" borderId="0">
      <alignment horizontal="center" vertical="center"/>
    </xf>
    <xf numFmtId="3" fontId="27" fillId="0" borderId="0">
      <alignment horizontal="right"/>
    </xf>
    <xf numFmtId="9"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1" fillId="0" borderId="0" applyNumberFormat="0" applyFill="0" applyBorder="0" applyAlignment="0" applyProtection="0">
      <protection locked="0"/>
    </xf>
    <xf numFmtId="1" fontId="32" fillId="0" borderId="0" applyNumberFormat="0" applyFill="0" applyBorder="0" applyAlignment="0" applyProtection="0"/>
    <xf numFmtId="1" fontId="33" fillId="0" borderId="0" applyNumberFormat="0" applyFill="0" applyBorder="0" applyAlignment="0" applyProtection="0"/>
    <xf numFmtId="10" fontId="34" fillId="0" borderId="21" applyFill="0" applyAlignment="0" applyProtection="0">
      <protection locked="0"/>
    </xf>
    <xf numFmtId="0" fontId="35" fillId="0" borderId="0"/>
    <xf numFmtId="0" fontId="12" fillId="0" borderId="0"/>
    <xf numFmtId="0" fontId="36" fillId="0" borderId="0"/>
    <xf numFmtId="9" fontId="12" fillId="0" borderId="0" applyFont="0" applyFill="0" applyBorder="0" applyAlignment="0" applyProtection="0"/>
    <xf numFmtId="1" fontId="37" fillId="0" borderId="22" applyNumberFormat="0" applyFill="0" applyBorder="0" applyAlignment="0" applyProtection="0"/>
    <xf numFmtId="0" fontId="12" fillId="0" borderId="0"/>
    <xf numFmtId="0" fontId="27" fillId="0" borderId="23" applyBorder="0">
      <alignment horizontal="right"/>
    </xf>
    <xf numFmtId="168" fontId="12" fillId="0" borderId="0"/>
    <xf numFmtId="168" fontId="12" fillId="0" borderId="0"/>
    <xf numFmtId="168" fontId="12" fillId="0" borderId="0"/>
    <xf numFmtId="0" fontId="38"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2" fillId="0" borderId="0"/>
    <xf numFmtId="0" fontId="12" fillId="0" borderId="0"/>
    <xf numFmtId="0" fontId="6" fillId="0" borderId="0"/>
    <xf numFmtId="0" fontId="12" fillId="0" borderId="0"/>
    <xf numFmtId="0" fontId="6" fillId="0" borderId="0"/>
    <xf numFmtId="0" fontId="48" fillId="0" borderId="0"/>
    <xf numFmtId="0" fontId="10" fillId="0" borderId="0"/>
    <xf numFmtId="0" fontId="1" fillId="0" borderId="0"/>
  </cellStyleXfs>
  <cellXfs count="1265">
    <xf numFmtId="0" fontId="0" fillId="0" borderId="0" xfId="0"/>
    <xf numFmtId="0" fontId="0" fillId="0" borderId="0" xfId="0" applyProtection="1"/>
    <xf numFmtId="0" fontId="12" fillId="0" borderId="0" xfId="0" applyFont="1" applyProtection="1"/>
    <xf numFmtId="0" fontId="0" fillId="4" borderId="0" xfId="0" applyFill="1" applyProtection="1"/>
    <xf numFmtId="3" fontId="12" fillId="0" borderId="0" xfId="0" applyNumberFormat="1" applyFont="1" applyProtection="1"/>
    <xf numFmtId="3" fontId="0" fillId="0" borderId="0" xfId="0" applyNumberFormat="1" applyProtection="1"/>
    <xf numFmtId="10" fontId="0" fillId="0" borderId="0" xfId="0" applyNumberFormat="1" applyProtection="1"/>
    <xf numFmtId="166" fontId="0" fillId="0" borderId="0" xfId="0" applyNumberFormat="1" applyProtection="1"/>
    <xf numFmtId="3" fontId="8" fillId="9" borderId="0" xfId="0" applyNumberFormat="1" applyFont="1" applyFill="1" applyProtection="1"/>
    <xf numFmtId="3" fontId="8" fillId="0" borderId="0" xfId="0" applyNumberFormat="1" applyFont="1" applyFill="1"/>
    <xf numFmtId="0" fontId="0" fillId="0" borderId="0" xfId="0" applyNumberFormat="1" applyFill="1"/>
    <xf numFmtId="164" fontId="12" fillId="0" borderId="0" xfId="0" applyNumberFormat="1" applyFont="1" applyFill="1"/>
    <xf numFmtId="164" fontId="0" fillId="0" borderId="0" xfId="0" applyNumberFormat="1" applyFill="1"/>
    <xf numFmtId="164" fontId="0" fillId="0" borderId="0" xfId="0" applyNumberFormat="1" applyFill="1" applyBorder="1"/>
    <xf numFmtId="3" fontId="8" fillId="0" borderId="0" xfId="0" applyNumberFormat="1" applyFont="1" applyFill="1" applyAlignment="1">
      <alignment horizontal="center" wrapText="1"/>
    </xf>
    <xf numFmtId="0" fontId="8" fillId="0" borderId="0" xfId="0" applyNumberFormat="1" applyFont="1" applyFill="1" applyAlignment="1">
      <alignment horizontal="center" wrapText="1"/>
    </xf>
    <xf numFmtId="3" fontId="12" fillId="0" borderId="0" xfId="0" applyNumberFormat="1" applyFont="1" applyFill="1" applyAlignment="1">
      <alignment horizontal="center" wrapText="1"/>
    </xf>
    <xf numFmtId="3" fontId="8" fillId="0" borderId="0" xfId="0" applyNumberFormat="1" applyFont="1" applyFill="1" applyBorder="1" applyAlignment="1">
      <alignment horizontal="center" vertical="center" wrapText="1"/>
    </xf>
    <xf numFmtId="3" fontId="12" fillId="0" borderId="0" xfId="0" applyNumberFormat="1" applyFont="1" applyFill="1"/>
    <xf numFmtId="0" fontId="12" fillId="0" borderId="0" xfId="0" applyNumberFormat="1" applyFont="1" applyFill="1"/>
    <xf numFmtId="3" fontId="0" fillId="0" borderId="0" xfId="0" applyNumberFormat="1" applyFill="1"/>
    <xf numFmtId="0" fontId="12" fillId="0" borderId="0" xfId="0" applyFont="1" applyFill="1" applyProtection="1">
      <protection locked="0"/>
    </xf>
    <xf numFmtId="3" fontId="24" fillId="0" borderId="0" xfId="0" applyNumberFormat="1" applyFont="1" applyFill="1"/>
    <xf numFmtId="0" fontId="25" fillId="0" borderId="0" xfId="0" applyNumberFormat="1" applyFont="1" applyFill="1"/>
    <xf numFmtId="3" fontId="25" fillId="0" borderId="0" xfId="0" applyNumberFormat="1" applyFont="1" applyFill="1"/>
    <xf numFmtId="3" fontId="8" fillId="0" borderId="0" xfId="0" applyNumberFormat="1" applyFont="1" applyFill="1" applyAlignment="1">
      <alignment horizontal="left" wrapText="1"/>
    </xf>
    <xf numFmtId="166" fontId="0" fillId="0" borderId="0" xfId="0" applyNumberFormat="1"/>
    <xf numFmtId="167" fontId="0" fillId="0" borderId="0" xfId="0" applyNumberFormat="1" applyFill="1" applyBorder="1"/>
    <xf numFmtId="167" fontId="8" fillId="0" borderId="0" xfId="0" applyNumberFormat="1" applyFont="1" applyFill="1" applyBorder="1" applyAlignment="1">
      <alignment horizontal="center" vertical="center" wrapText="1"/>
    </xf>
    <xf numFmtId="167" fontId="0" fillId="0" borderId="0" xfId="0" applyNumberFormat="1"/>
    <xf numFmtId="167" fontId="0" fillId="0" borderId="0" xfId="0" applyNumberFormat="1" applyFill="1"/>
    <xf numFmtId="167" fontId="24" fillId="0" borderId="0" xfId="0" applyNumberFormat="1" applyFont="1" applyFill="1" applyBorder="1"/>
    <xf numFmtId="164" fontId="0" fillId="0" borderId="0" xfId="0" applyNumberFormat="1" applyBorder="1"/>
    <xf numFmtId="3" fontId="0" fillId="0" borderId="0" xfId="0" applyNumberFormat="1" applyBorder="1" applyAlignment="1">
      <alignment horizontal="center" wrapText="1"/>
    </xf>
    <xf numFmtId="3" fontId="12" fillId="0" borderId="0" xfId="0" applyNumberFormat="1" applyFont="1"/>
    <xf numFmtId="3" fontId="0" fillId="0" borderId="0" xfId="0" applyNumberFormat="1" applyBorder="1" applyAlignment="1">
      <alignment vertical="center" wrapText="1"/>
    </xf>
    <xf numFmtId="3" fontId="0" fillId="0" borderId="0" xfId="0" applyNumberFormat="1" applyBorder="1" applyAlignment="1">
      <alignment vertical="center"/>
    </xf>
    <xf numFmtId="3" fontId="0" fillId="0" borderId="0" xfId="0" applyNumberFormat="1"/>
    <xf numFmtId="3" fontId="0" fillId="0" borderId="0" xfId="0" applyNumberFormat="1" applyBorder="1"/>
    <xf numFmtId="3" fontId="25" fillId="0" borderId="0" xfId="0" applyNumberFormat="1" applyFont="1" applyBorder="1"/>
    <xf numFmtId="3" fontId="2" fillId="0" borderId="0" xfId="0" applyNumberFormat="1" applyFont="1"/>
    <xf numFmtId="3" fontId="8" fillId="0" borderId="0" xfId="0" applyNumberFormat="1" applyFont="1" applyBorder="1" applyAlignment="1">
      <alignment horizontal="center" vertical="center" wrapText="1"/>
    </xf>
    <xf numFmtId="3" fontId="2" fillId="0" borderId="0" xfId="0" applyNumberFormat="1" applyFont="1" applyBorder="1"/>
    <xf numFmtId="0" fontId="2" fillId="0" borderId="0" xfId="0" applyFont="1" applyFill="1" applyAlignment="1">
      <alignment horizontal="center" wrapText="1"/>
    </xf>
    <xf numFmtId="3" fontId="2" fillId="0" borderId="0" xfId="0" applyNumberFormat="1" applyFont="1" applyBorder="1" applyAlignment="1">
      <alignment vertical="center"/>
    </xf>
    <xf numFmtId="167" fontId="2" fillId="0" borderId="0" xfId="0" applyNumberFormat="1" applyFont="1"/>
    <xf numFmtId="167" fontId="8" fillId="0" borderId="0" xfId="0" applyNumberFormat="1" applyFont="1" applyBorder="1" applyAlignment="1">
      <alignment horizontal="center" wrapText="1"/>
    </xf>
    <xf numFmtId="167" fontId="8" fillId="0" borderId="0" xfId="0" applyNumberFormat="1" applyFont="1" applyBorder="1" applyAlignment="1">
      <alignment horizontal="center" vertical="center" wrapText="1"/>
    </xf>
    <xf numFmtId="167" fontId="0" fillId="0" borderId="0" xfId="0" applyNumberFormat="1" applyFont="1"/>
    <xf numFmtId="0" fontId="12" fillId="0" borderId="0" xfId="1" applyProtection="1"/>
    <xf numFmtId="3" fontId="12" fillId="0" borderId="0" xfId="1" applyNumberFormat="1" applyAlignment="1" applyProtection="1">
      <alignment horizontal="right"/>
    </xf>
    <xf numFmtId="165" fontId="12" fillId="0" borderId="0" xfId="1" applyNumberFormat="1" applyProtection="1"/>
    <xf numFmtId="164" fontId="13" fillId="0" borderId="0" xfId="1" applyNumberFormat="1" applyFont="1" applyProtection="1">
      <protection hidden="1"/>
    </xf>
    <xf numFmtId="0" fontId="12" fillId="0" borderId="0" xfId="1" applyFill="1" applyBorder="1" applyProtection="1"/>
    <xf numFmtId="0" fontId="13" fillId="0" borderId="0" xfId="1" applyFont="1" applyProtection="1"/>
    <xf numFmtId="0" fontId="3" fillId="0" borderId="0" xfId="1" applyFont="1" applyProtection="1"/>
    <xf numFmtId="0" fontId="4" fillId="0" borderId="0" xfId="1" applyFont="1" applyProtection="1"/>
    <xf numFmtId="0" fontId="4" fillId="0" borderId="0" xfId="1" applyFont="1" applyAlignment="1" applyProtection="1">
      <alignment horizontal="right"/>
    </xf>
    <xf numFmtId="9" fontId="12" fillId="0" borderId="0" xfId="1" applyNumberFormat="1" applyProtection="1"/>
    <xf numFmtId="0" fontId="13" fillId="0" borderId="0" xfId="1" applyFont="1" applyFill="1" applyBorder="1" applyProtection="1"/>
    <xf numFmtId="0" fontId="13" fillId="0" borderId="0" xfId="1" applyFont="1" applyFill="1" applyProtection="1"/>
    <xf numFmtId="0" fontId="14" fillId="0" borderId="0" xfId="1" applyFont="1" applyAlignment="1">
      <alignment horizontal="right"/>
    </xf>
    <xf numFmtId="0" fontId="9" fillId="0" borderId="0" xfId="1" applyFont="1" applyProtection="1"/>
    <xf numFmtId="0" fontId="14" fillId="0" borderId="0" xfId="1" applyFont="1" applyAlignment="1" applyProtection="1">
      <alignment horizontal="right"/>
    </xf>
    <xf numFmtId="0" fontId="15" fillId="0" borderId="0" xfId="1" applyFont="1"/>
    <xf numFmtId="0" fontId="7" fillId="0" borderId="0" xfId="1" applyFont="1" applyProtection="1"/>
    <xf numFmtId="0" fontId="12" fillId="0" borderId="0" xfId="1" applyAlignment="1" applyProtection="1">
      <alignment horizontal="right"/>
    </xf>
    <xf numFmtId="0" fontId="17" fillId="0" borderId="0" xfId="1" applyFont="1"/>
    <xf numFmtId="0" fontId="7" fillId="0" borderId="0" xfId="1" applyFont="1" applyAlignment="1" applyProtection="1"/>
    <xf numFmtId="0" fontId="12" fillId="0" borderId="1" xfId="1" applyBorder="1" applyAlignment="1" applyProtection="1">
      <alignment horizontal="right"/>
    </xf>
    <xf numFmtId="165" fontId="4" fillId="0" borderId="2" xfId="1" applyNumberFormat="1" applyFont="1" applyBorder="1" applyProtection="1">
      <protection locked="0"/>
    </xf>
    <xf numFmtId="0" fontId="12" fillId="0" borderId="3" xfId="1" applyBorder="1" applyAlignment="1" applyProtection="1">
      <alignment horizontal="right"/>
    </xf>
    <xf numFmtId="165" fontId="9" fillId="4" borderId="4" xfId="1" applyNumberFormat="1" applyFont="1" applyFill="1" applyBorder="1" applyProtection="1"/>
    <xf numFmtId="0" fontId="12" fillId="0" borderId="5" xfId="1" applyBorder="1" applyAlignment="1" applyProtection="1">
      <alignment horizontal="right"/>
    </xf>
    <xf numFmtId="165" fontId="9" fillId="4" borderId="6" xfId="1" applyNumberFormat="1" applyFont="1" applyFill="1" applyBorder="1" applyProtection="1"/>
    <xf numFmtId="0" fontId="12" fillId="0" borderId="0" xfId="1" applyBorder="1" applyAlignment="1" applyProtection="1">
      <alignment horizontal="right"/>
    </xf>
    <xf numFmtId="165" fontId="12" fillId="0" borderId="0" xfId="1" applyNumberFormat="1" applyBorder="1" applyProtection="1"/>
    <xf numFmtId="0" fontId="12" fillId="0" borderId="0" xfId="1" applyBorder="1" applyAlignment="1" applyProtection="1">
      <alignment horizontal="left"/>
    </xf>
    <xf numFmtId="0" fontId="12" fillId="0" borderId="0" xfId="1" applyBorder="1" applyProtection="1"/>
    <xf numFmtId="0" fontId="12" fillId="0" borderId="0" xfId="1" applyFont="1" applyProtection="1"/>
    <xf numFmtId="165" fontId="12" fillId="0" borderId="0" xfId="1" applyNumberFormat="1" applyFont="1" applyProtection="1"/>
    <xf numFmtId="0" fontId="13" fillId="0" borderId="0" xfId="1" applyNumberFormat="1" applyFont="1" applyProtection="1"/>
    <xf numFmtId="0" fontId="9" fillId="0" borderId="13" xfId="1" applyFont="1" applyBorder="1" applyAlignment="1" applyProtection="1">
      <alignment horizontal="center"/>
    </xf>
    <xf numFmtId="0" fontId="13" fillId="0" borderId="13" xfId="1" applyFont="1" applyBorder="1" applyAlignment="1" applyProtection="1">
      <alignment horizontal="center"/>
    </xf>
    <xf numFmtId="0" fontId="9" fillId="0" borderId="13" xfId="1" applyFont="1" applyBorder="1" applyAlignment="1" applyProtection="1">
      <alignment horizontal="right"/>
    </xf>
    <xf numFmtId="0" fontId="12" fillId="0" borderId="13" xfId="1" applyBorder="1" applyProtection="1"/>
    <xf numFmtId="0" fontId="9" fillId="0" borderId="0" xfId="1" applyFont="1" applyAlignment="1" applyProtection="1">
      <alignment horizontal="center"/>
    </xf>
    <xf numFmtId="165" fontId="9" fillId="0" borderId="0" xfId="1" applyNumberFormat="1" applyFont="1" applyProtection="1"/>
    <xf numFmtId="3" fontId="13" fillId="0" borderId="0" xfId="1" applyNumberFormat="1" applyFont="1" applyFill="1" applyBorder="1" applyProtection="1"/>
    <xf numFmtId="0" fontId="13" fillId="0" borderId="0" xfId="1" applyFont="1" applyAlignment="1" applyProtection="1">
      <alignment horizontal="center"/>
    </xf>
    <xf numFmtId="0" fontId="15" fillId="0" borderId="0" xfId="1" applyFont="1" applyAlignment="1" applyProtection="1">
      <alignment horizontal="left"/>
    </xf>
    <xf numFmtId="0" fontId="13" fillId="0" borderId="0" xfId="1" applyFont="1" applyFill="1" applyBorder="1" applyAlignment="1" applyProtection="1">
      <alignment horizontal="center"/>
    </xf>
    <xf numFmtId="0" fontId="4" fillId="0" borderId="15" xfId="1" applyFont="1" applyFill="1" applyBorder="1" applyAlignment="1" applyProtection="1">
      <alignment horizontal="center"/>
    </xf>
    <xf numFmtId="0" fontId="4" fillId="0" borderId="9" xfId="1" applyFont="1" applyFill="1" applyBorder="1" applyAlignment="1" applyProtection="1">
      <alignment horizontal="center" wrapText="1"/>
    </xf>
    <xf numFmtId="0" fontId="4" fillId="6" borderId="9" xfId="1" applyFont="1" applyFill="1" applyBorder="1" applyAlignment="1" applyProtection="1">
      <alignment horizontal="center" wrapText="1"/>
    </xf>
    <xf numFmtId="0" fontId="5" fillId="2" borderId="9" xfId="1" applyFont="1" applyFill="1" applyBorder="1" applyAlignment="1" applyProtection="1">
      <alignment horizontal="center" wrapText="1"/>
    </xf>
    <xf numFmtId="0" fontId="4" fillId="2" borderId="9" xfId="1" applyFont="1" applyFill="1" applyBorder="1" applyAlignment="1" applyProtection="1">
      <alignment horizontal="center" wrapText="1"/>
    </xf>
    <xf numFmtId="0" fontId="4" fillId="2" borderId="9" xfId="1" applyFont="1" applyFill="1" applyBorder="1" applyAlignment="1" applyProtection="1">
      <alignment horizontal="right" wrapText="1"/>
    </xf>
    <xf numFmtId="0" fontId="5" fillId="5" borderId="9" xfId="1" applyFont="1" applyFill="1" applyBorder="1" applyAlignment="1" applyProtection="1">
      <alignment horizontal="center" wrapText="1"/>
    </xf>
    <xf numFmtId="165" fontId="5" fillId="2" borderId="9" xfId="1" applyNumberFormat="1" applyFont="1" applyFill="1" applyBorder="1" applyAlignment="1" applyProtection="1">
      <alignment horizontal="center" wrapText="1"/>
    </xf>
    <xf numFmtId="0" fontId="16" fillId="0" borderId="15" xfId="1" applyFont="1" applyFill="1" applyBorder="1" applyAlignment="1" applyProtection="1">
      <alignment horizontal="center" wrapText="1"/>
    </xf>
    <xf numFmtId="0" fontId="4" fillId="7" borderId="9" xfId="1" applyFont="1" applyFill="1" applyBorder="1" applyAlignment="1" applyProtection="1">
      <alignment horizontal="center" wrapText="1"/>
    </xf>
    <xf numFmtId="0" fontId="5" fillId="0" borderId="15" xfId="1" applyFont="1" applyFill="1" applyBorder="1" applyAlignment="1" applyProtection="1">
      <alignment horizontal="center" wrapText="1"/>
    </xf>
    <xf numFmtId="0" fontId="5" fillId="8" borderId="9" xfId="1" applyFont="1" applyFill="1" applyBorder="1" applyAlignment="1" applyProtection="1">
      <alignment horizontal="center" wrapText="1"/>
    </xf>
    <xf numFmtId="0" fontId="20" fillId="0" borderId="0" xfId="1" applyFont="1" applyProtection="1"/>
    <xf numFmtId="0" fontId="8" fillId="0" borderId="0" xfId="1" applyFont="1" applyProtection="1"/>
    <xf numFmtId="0" fontId="12" fillId="0" borderId="0" xfId="1" applyFill="1" applyBorder="1" applyAlignment="1" applyProtection="1">
      <alignment horizontal="center" wrapText="1"/>
    </xf>
    <xf numFmtId="3" fontId="8" fillId="0" borderId="0" xfId="1" applyNumberFormat="1" applyFont="1" applyAlignment="1" applyProtection="1">
      <alignment horizontal="center" wrapText="1"/>
    </xf>
    <xf numFmtId="0" fontId="8" fillId="0" borderId="0" xfId="1" applyFont="1" applyAlignment="1" applyProtection="1">
      <alignment horizontal="center" wrapText="1"/>
    </xf>
    <xf numFmtId="0" fontId="12" fillId="0" borderId="0" xfId="1" applyAlignment="1" applyProtection="1">
      <alignment horizontal="center" wrapText="1"/>
    </xf>
    <xf numFmtId="0" fontId="12" fillId="0" borderId="0" xfId="1" applyFont="1" applyAlignment="1" applyProtection="1">
      <alignment horizontal="center" wrapText="1"/>
    </xf>
    <xf numFmtId="0" fontId="21" fillId="0" borderId="10" xfId="1" applyFont="1" applyBorder="1" applyAlignment="1" applyProtection="1">
      <alignment horizontal="center"/>
      <protection locked="0"/>
    </xf>
    <xf numFmtId="0" fontId="22" fillId="0" borderId="10" xfId="1" applyFont="1" applyBorder="1" applyProtection="1">
      <protection locked="0"/>
    </xf>
    <xf numFmtId="3" fontId="21" fillId="0" borderId="11" xfId="1" applyNumberFormat="1" applyFont="1" applyFill="1" applyBorder="1" applyProtection="1">
      <protection locked="0"/>
    </xf>
    <xf numFmtId="0" fontId="21" fillId="0" borderId="11" xfId="1" applyFont="1" applyBorder="1" applyAlignment="1" applyProtection="1">
      <alignment horizontal="center"/>
      <protection locked="0"/>
    </xf>
    <xf numFmtId="3" fontId="12" fillId="0" borderId="0" xfId="1" applyNumberFormat="1" applyFont="1" applyAlignment="1">
      <alignment horizontal="right" wrapText="1"/>
    </xf>
    <xf numFmtId="164" fontId="9" fillId="0" borderId="11" xfId="1" applyNumberFormat="1" applyFont="1" applyFill="1" applyBorder="1" applyAlignment="1" applyProtection="1">
      <alignment horizontal="right"/>
    </xf>
    <xf numFmtId="3" fontId="9" fillId="0" borderId="11" xfId="1" applyNumberFormat="1" applyFont="1" applyFill="1" applyBorder="1" applyAlignment="1" applyProtection="1">
      <alignment horizontal="center"/>
    </xf>
    <xf numFmtId="165" fontId="21" fillId="0" borderId="11" xfId="1" applyNumberFormat="1" applyFont="1" applyFill="1" applyBorder="1" applyAlignment="1" applyProtection="1">
      <alignment horizontal="right"/>
      <protection locked="0"/>
    </xf>
    <xf numFmtId="3" fontId="11" fillId="0" borderId="16" xfId="1" applyNumberFormat="1" applyFont="1" applyFill="1" applyBorder="1" applyProtection="1"/>
    <xf numFmtId="164" fontId="23" fillId="0" borderId="11" xfId="1" applyNumberFormat="1" applyFont="1" applyFill="1" applyBorder="1" applyProtection="1"/>
    <xf numFmtId="3" fontId="23" fillId="0" borderId="11" xfId="1" applyNumberFormat="1" applyFont="1" applyFill="1" applyBorder="1" applyProtection="1"/>
    <xf numFmtId="164" fontId="23" fillId="0" borderId="11" xfId="1" applyNumberFormat="1" applyFont="1" applyFill="1" applyBorder="1" applyAlignment="1" applyProtection="1">
      <alignment horizontal="right"/>
    </xf>
    <xf numFmtId="164" fontId="5" fillId="0" borderId="17" xfId="1" applyNumberFormat="1" applyFont="1" applyFill="1" applyBorder="1" applyAlignment="1" applyProtection="1">
      <alignment horizontal="right"/>
    </xf>
    <xf numFmtId="164" fontId="9" fillId="0" borderId="16" xfId="1" applyNumberFormat="1" applyFont="1" applyFill="1" applyBorder="1" applyProtection="1"/>
    <xf numFmtId="164" fontId="21" fillId="0" borderId="10" xfId="1" applyNumberFormat="1" applyFont="1" applyBorder="1" applyProtection="1">
      <protection locked="0"/>
    </xf>
    <xf numFmtId="164" fontId="21" fillId="0" borderId="10" xfId="1" applyNumberFormat="1" applyFont="1" applyBorder="1" applyAlignment="1" applyProtection="1">
      <alignment horizontal="center"/>
      <protection locked="0"/>
    </xf>
    <xf numFmtId="3" fontId="21" fillId="0" borderId="10" xfId="1" applyNumberFormat="1" applyFont="1" applyBorder="1" applyAlignment="1" applyProtection="1">
      <alignment horizontal="center"/>
      <protection locked="0"/>
    </xf>
    <xf numFmtId="164" fontId="9" fillId="0" borderId="10" xfId="1" applyNumberFormat="1" applyFont="1" applyBorder="1" applyProtection="1"/>
    <xf numFmtId="164" fontId="4" fillId="0" borderId="10" xfId="1" applyNumberFormat="1" applyFont="1" applyBorder="1" applyAlignment="1" applyProtection="1">
      <alignment horizontal="right"/>
    </xf>
    <xf numFmtId="10" fontId="0" fillId="5" borderId="0" xfId="2" applyNumberFormat="1" applyFont="1" applyFill="1" applyProtection="1"/>
    <xf numFmtId="0" fontId="12" fillId="0" borderId="0" xfId="1" applyFont="1" applyFill="1" applyBorder="1" applyProtection="1"/>
    <xf numFmtId="3" fontId="12" fillId="0" borderId="0" xfId="1" applyNumberFormat="1" applyFont="1" applyProtection="1"/>
    <xf numFmtId="0" fontId="21" fillId="0" borderId="12" xfId="1" applyFont="1" applyBorder="1" applyAlignment="1" applyProtection="1">
      <alignment horizontal="center"/>
      <protection locked="0"/>
    </xf>
    <xf numFmtId="0" fontId="22" fillId="0" borderId="12" xfId="1" applyFont="1" applyBorder="1" applyProtection="1">
      <protection locked="0"/>
    </xf>
    <xf numFmtId="164" fontId="21" fillId="0" borderId="12" xfId="1" applyNumberFormat="1" applyFont="1" applyBorder="1" applyProtection="1">
      <protection locked="0"/>
    </xf>
    <xf numFmtId="164" fontId="21" fillId="0" borderId="12" xfId="1" applyNumberFormat="1" applyFont="1" applyBorder="1" applyAlignment="1" applyProtection="1">
      <alignment horizontal="center"/>
      <protection locked="0"/>
    </xf>
    <xf numFmtId="3" fontId="21" fillId="0" borderId="12" xfId="1" applyNumberFormat="1" applyFont="1" applyBorder="1" applyAlignment="1" applyProtection="1">
      <alignment horizontal="center"/>
      <protection locked="0"/>
    </xf>
    <xf numFmtId="164" fontId="9" fillId="0" borderId="12" xfId="1" applyNumberFormat="1" applyFont="1" applyBorder="1" applyProtection="1"/>
    <xf numFmtId="164" fontId="4" fillId="0" borderId="12" xfId="1" applyNumberFormat="1" applyFont="1" applyBorder="1" applyAlignment="1" applyProtection="1">
      <alignment horizontal="right"/>
    </xf>
    <xf numFmtId="164" fontId="12" fillId="0" borderId="0" xfId="1" applyNumberFormat="1" applyFont="1" applyFill="1" applyBorder="1" applyProtection="1"/>
    <xf numFmtId="3" fontId="12" fillId="0" borderId="0" xfId="1" applyNumberFormat="1" applyProtection="1"/>
    <xf numFmtId="164" fontId="23" fillId="3" borderId="11" xfId="1" applyNumberFormat="1" applyFont="1" applyFill="1" applyBorder="1" applyAlignment="1" applyProtection="1">
      <alignment horizontal="right"/>
    </xf>
    <xf numFmtId="164" fontId="21" fillId="3" borderId="12" xfId="1" applyNumberFormat="1" applyFont="1" applyFill="1" applyBorder="1" applyProtection="1">
      <protection locked="0"/>
    </xf>
    <xf numFmtId="164" fontId="4" fillId="3" borderId="12" xfId="1" applyNumberFormat="1" applyFont="1" applyFill="1" applyBorder="1" applyAlignment="1" applyProtection="1">
      <alignment horizontal="right"/>
    </xf>
    <xf numFmtId="10" fontId="0" fillId="0" borderId="0" xfId="2" applyNumberFormat="1" applyFont="1" applyProtection="1"/>
    <xf numFmtId="1" fontId="12" fillId="0" borderId="0" xfId="1" applyNumberFormat="1" applyProtection="1"/>
    <xf numFmtId="9" fontId="0" fillId="0" borderId="0" xfId="2" applyFont="1" applyProtection="1"/>
    <xf numFmtId="1" fontId="12" fillId="0" borderId="0" xfId="1" applyNumberFormat="1" applyFill="1" applyBorder="1" applyProtection="1"/>
    <xf numFmtId="164" fontId="12" fillId="0" borderId="0" xfId="1" applyNumberFormat="1" applyFill="1" applyBorder="1" applyProtection="1"/>
    <xf numFmtId="0" fontId="21" fillId="2" borderId="12" xfId="1" applyFont="1" applyFill="1" applyBorder="1" applyAlignment="1" applyProtection="1">
      <alignment horizontal="center"/>
      <protection locked="0"/>
    </xf>
    <xf numFmtId="0" fontId="22" fillId="2" borderId="12" xfId="1" applyFont="1" applyFill="1" applyBorder="1" applyProtection="1">
      <protection locked="0"/>
    </xf>
    <xf numFmtId="0" fontId="21" fillId="4" borderId="12" xfId="1" applyFont="1" applyFill="1" applyBorder="1" applyAlignment="1" applyProtection="1">
      <alignment horizontal="center"/>
      <protection locked="0"/>
    </xf>
    <xf numFmtId="0" fontId="22" fillId="4" borderId="12" xfId="1" applyFont="1" applyFill="1" applyBorder="1" applyProtection="1">
      <protection locked="0"/>
    </xf>
    <xf numFmtId="3" fontId="21" fillId="4" borderId="11" xfId="1" applyNumberFormat="1" applyFont="1" applyFill="1" applyBorder="1" applyProtection="1">
      <protection locked="0"/>
    </xf>
    <xf numFmtId="0" fontId="21" fillId="4" borderId="11" xfId="1" applyFont="1" applyFill="1" applyBorder="1" applyAlignment="1" applyProtection="1">
      <alignment horizontal="center"/>
      <protection locked="0"/>
    </xf>
    <xf numFmtId="164" fontId="9" fillId="4" borderId="11" xfId="1" applyNumberFormat="1" applyFont="1" applyFill="1" applyBorder="1" applyAlignment="1" applyProtection="1">
      <alignment horizontal="right"/>
    </xf>
    <xf numFmtId="3" fontId="9" fillId="4" borderId="11" xfId="1" applyNumberFormat="1" applyFont="1" applyFill="1" applyBorder="1" applyAlignment="1" applyProtection="1">
      <alignment horizontal="center"/>
    </xf>
    <xf numFmtId="165" fontId="21" fillId="4" borderId="11" xfId="1" applyNumberFormat="1" applyFont="1" applyFill="1" applyBorder="1" applyAlignment="1" applyProtection="1">
      <alignment horizontal="right"/>
      <protection locked="0"/>
    </xf>
    <xf numFmtId="3" fontId="11" fillId="4" borderId="16" xfId="1" applyNumberFormat="1" applyFont="1" applyFill="1" applyBorder="1" applyProtection="1"/>
    <xf numFmtId="164" fontId="23" fillId="4" borderId="11" xfId="1" applyNumberFormat="1" applyFont="1" applyFill="1" applyBorder="1" applyProtection="1"/>
    <xf numFmtId="3" fontId="23" fillId="4" borderId="11" xfId="1" applyNumberFormat="1" applyFont="1" applyFill="1" applyBorder="1" applyProtection="1"/>
    <xf numFmtId="164" fontId="23" fillId="4" borderId="11" xfId="1" applyNumberFormat="1" applyFont="1" applyFill="1" applyBorder="1" applyAlignment="1" applyProtection="1">
      <alignment horizontal="right"/>
    </xf>
    <xf numFmtId="164" fontId="5" fillId="4" borderId="17" xfId="1" applyNumberFormat="1" applyFont="1" applyFill="1" applyBorder="1" applyAlignment="1" applyProtection="1">
      <alignment horizontal="right"/>
    </xf>
    <xf numFmtId="164" fontId="9" fillId="4" borderId="16" xfId="1" applyNumberFormat="1" applyFont="1" applyFill="1" applyBorder="1" applyProtection="1"/>
    <xf numFmtId="164" fontId="21" fillId="4" borderId="12" xfId="1" applyNumberFormat="1" applyFont="1" applyFill="1" applyBorder="1" applyAlignment="1" applyProtection="1">
      <alignment horizontal="center"/>
      <protection locked="0"/>
    </xf>
    <xf numFmtId="3" fontId="21" fillId="4" borderId="12" xfId="1" applyNumberFormat="1" applyFont="1" applyFill="1" applyBorder="1" applyAlignment="1" applyProtection="1">
      <alignment horizontal="center"/>
      <protection locked="0"/>
    </xf>
    <xf numFmtId="164" fontId="9" fillId="4" borderId="12" xfId="1" applyNumberFormat="1" applyFont="1" applyFill="1" applyBorder="1" applyProtection="1"/>
    <xf numFmtId="164" fontId="4" fillId="4" borderId="12" xfId="1" applyNumberFormat="1" applyFont="1" applyFill="1" applyBorder="1" applyAlignment="1" applyProtection="1">
      <alignment horizontal="right"/>
    </xf>
    <xf numFmtId="0" fontId="13" fillId="4" borderId="0" xfId="1" applyFont="1" applyFill="1" applyProtection="1"/>
    <xf numFmtId="0" fontId="12" fillId="4" borderId="0" xfId="1" applyFill="1" applyProtection="1"/>
    <xf numFmtId="0" fontId="21" fillId="5" borderId="12" xfId="1" applyFont="1" applyFill="1" applyBorder="1" applyAlignment="1" applyProtection="1">
      <alignment horizontal="center"/>
      <protection locked="0"/>
    </xf>
    <xf numFmtId="0" fontId="22" fillId="5" borderId="12" xfId="1" applyFont="1" applyFill="1" applyBorder="1" applyProtection="1">
      <protection locked="0"/>
    </xf>
    <xf numFmtId="164" fontId="21" fillId="0" borderId="11" xfId="1" applyNumberFormat="1" applyFont="1" applyFill="1" applyBorder="1" applyAlignment="1" applyProtection="1">
      <alignment horizontal="right"/>
      <protection locked="0"/>
    </xf>
    <xf numFmtId="3" fontId="22" fillId="0" borderId="12" xfId="1" applyNumberFormat="1" applyFont="1" applyBorder="1" applyProtection="1">
      <protection locked="0"/>
    </xf>
    <xf numFmtId="3" fontId="4" fillId="0" borderId="12" xfId="1" applyNumberFormat="1" applyFont="1" applyBorder="1" applyAlignment="1" applyProtection="1">
      <alignment horizontal="right"/>
    </xf>
    <xf numFmtId="3" fontId="4" fillId="0" borderId="19" xfId="1" applyNumberFormat="1" applyFont="1" applyBorder="1" applyAlignment="1" applyProtection="1">
      <alignment horizontal="right"/>
    </xf>
    <xf numFmtId="3" fontId="4" fillId="0" borderId="0" xfId="1" applyNumberFormat="1" applyFont="1" applyFill="1" applyBorder="1" applyAlignment="1" applyProtection="1">
      <alignment horizontal="right"/>
    </xf>
    <xf numFmtId="3" fontId="12" fillId="0" borderId="0" xfId="1" applyNumberFormat="1" applyFill="1" applyBorder="1" applyProtection="1"/>
    <xf numFmtId="0" fontId="12" fillId="5" borderId="0" xfId="1" applyFill="1" applyProtection="1"/>
    <xf numFmtId="3" fontId="12" fillId="5" borderId="0" xfId="1" applyNumberFormat="1" applyFill="1" applyProtection="1"/>
    <xf numFmtId="164" fontId="4" fillId="0" borderId="11" xfId="1" applyNumberFormat="1" applyFont="1" applyFill="1" applyBorder="1" applyAlignment="1" applyProtection="1">
      <alignment horizontal="right"/>
    </xf>
    <xf numFmtId="4" fontId="0" fillId="0" borderId="0" xfId="0" applyNumberFormat="1"/>
    <xf numFmtId="4" fontId="0" fillId="0" borderId="0" xfId="0" applyNumberFormat="1" applyFill="1" applyBorder="1"/>
    <xf numFmtId="4" fontId="8" fillId="0" borderId="0" xfId="0" applyNumberFormat="1" applyFont="1" applyFill="1" applyBorder="1" applyAlignment="1">
      <alignment horizontal="center" vertical="center" wrapText="1"/>
    </xf>
    <xf numFmtId="4" fontId="12" fillId="0" borderId="0" xfId="0" applyNumberFormat="1" applyFont="1"/>
    <xf numFmtId="4" fontId="2" fillId="0" borderId="0" xfId="0" applyNumberFormat="1" applyFont="1"/>
    <xf numFmtId="166" fontId="12" fillId="0" borderId="0" xfId="0" applyNumberFormat="1" applyFont="1" applyFill="1"/>
    <xf numFmtId="166" fontId="0" fillId="0" borderId="0" xfId="0" applyNumberFormat="1" applyFill="1"/>
    <xf numFmtId="0" fontId="0" fillId="0" borderId="0" xfId="0" applyNumberFormat="1" applyFill="1" applyAlignment="1">
      <alignment wrapText="1"/>
    </xf>
    <xf numFmtId="4" fontId="0" fillId="0" borderId="0" xfId="0" applyNumberFormat="1" applyFill="1"/>
    <xf numFmtId="0" fontId="2" fillId="0" borderId="0" xfId="0" applyNumberFormat="1" applyFont="1" applyFill="1"/>
    <xf numFmtId="166" fontId="2" fillId="0" borderId="0" xfId="0" applyNumberFormat="1" applyFont="1" applyBorder="1"/>
    <xf numFmtId="9" fontId="2" fillId="0" borderId="0" xfId="0" applyNumberFormat="1" applyFont="1" applyBorder="1"/>
    <xf numFmtId="4" fontId="0" fillId="0" borderId="0" xfId="0" applyNumberFormat="1" applyBorder="1"/>
    <xf numFmtId="6" fontId="0" fillId="0" borderId="0" xfId="0" applyNumberFormat="1"/>
    <xf numFmtId="0" fontId="0" fillId="0" borderId="0" xfId="0" applyBorder="1"/>
    <xf numFmtId="0" fontId="12" fillId="0" borderId="0" xfId="0" applyFont="1"/>
    <xf numFmtId="0" fontId="0" fillId="0" borderId="0" xfId="0" applyFill="1" applyBorder="1"/>
    <xf numFmtId="169" fontId="12" fillId="0" borderId="0" xfId="0" applyNumberFormat="1" applyFont="1"/>
    <xf numFmtId="0" fontId="0" fillId="11" borderId="0" xfId="0" applyNumberFormat="1" applyFill="1" applyAlignment="1">
      <alignment wrapText="1"/>
    </xf>
    <xf numFmtId="3" fontId="0" fillId="0" borderId="24" xfId="0" applyNumberFormat="1" applyFill="1" applyBorder="1"/>
    <xf numFmtId="3" fontId="0" fillId="0" borderId="25" xfId="0" applyNumberFormat="1" applyFill="1" applyBorder="1"/>
    <xf numFmtId="0" fontId="0" fillId="0" borderId="24" xfId="0" applyBorder="1"/>
    <xf numFmtId="0" fontId="0" fillId="0" borderId="25" xfId="0" applyBorder="1"/>
    <xf numFmtId="0" fontId="0" fillId="0" borderId="18" xfId="0" applyBorder="1"/>
    <xf numFmtId="0" fontId="0" fillId="0" borderId="26" xfId="0" applyBorder="1"/>
    <xf numFmtId="4" fontId="0" fillId="0" borderId="18" xfId="0" applyNumberFormat="1" applyBorder="1"/>
    <xf numFmtId="4" fontId="0" fillId="0" borderId="26" xfId="0" applyNumberFormat="1" applyBorder="1"/>
    <xf numFmtId="4" fontId="0" fillId="0" borderId="27" xfId="0" applyNumberFormat="1" applyBorder="1"/>
    <xf numFmtId="0" fontId="0" fillId="0" borderId="17" xfId="0" applyBorder="1"/>
    <xf numFmtId="3" fontId="0" fillId="0" borderId="0" xfId="0" applyNumberFormat="1" applyFill="1" applyBorder="1"/>
    <xf numFmtId="3" fontId="8" fillId="0" borderId="0" xfId="0" applyNumberFormat="1" applyFont="1" applyFill="1" applyBorder="1"/>
    <xf numFmtId="3" fontId="8" fillId="0" borderId="0" xfId="0" applyNumberFormat="1" applyFont="1" applyFill="1" applyBorder="1" applyAlignment="1">
      <alignment horizontal="left" wrapText="1"/>
    </xf>
    <xf numFmtId="0" fontId="8" fillId="0" borderId="0" xfId="0" applyNumberFormat="1" applyFont="1" applyFill="1" applyBorder="1" applyAlignment="1">
      <alignment horizontal="center" wrapText="1"/>
    </xf>
    <xf numFmtId="3" fontId="12" fillId="0" borderId="0" xfId="0" applyNumberFormat="1" applyFont="1" applyFill="1" applyBorder="1"/>
    <xf numFmtId="0" fontId="12" fillId="0" borderId="0" xfId="0" applyNumberFormat="1" applyFont="1" applyFill="1" applyBorder="1"/>
    <xf numFmtId="0" fontId="12" fillId="0" borderId="0" xfId="0" applyFont="1" applyFill="1" applyBorder="1" applyProtection="1">
      <protection locked="0"/>
    </xf>
    <xf numFmtId="3" fontId="2" fillId="0" borderId="0" xfId="0" applyNumberFormat="1" applyFont="1" applyFill="1" applyBorder="1"/>
    <xf numFmtId="166" fontId="0" fillId="0" borderId="0" xfId="0" applyNumberFormat="1" applyBorder="1"/>
    <xf numFmtId="0" fontId="12" fillId="10" borderId="0" xfId="0" applyNumberFormat="1" applyFont="1" applyFill="1"/>
    <xf numFmtId="0" fontId="0" fillId="10" borderId="28" xfId="0" applyFill="1" applyBorder="1" applyAlignment="1">
      <alignment horizontal="right" vertical="center"/>
    </xf>
    <xf numFmtId="3" fontId="2" fillId="0" borderId="0" xfId="0" applyNumberFormat="1" applyFont="1" applyFill="1"/>
    <xf numFmtId="0" fontId="0" fillId="0" borderId="0" xfId="0" applyFill="1"/>
    <xf numFmtId="4" fontId="12" fillId="0" borderId="0" xfId="0" applyNumberFormat="1" applyFont="1" applyFill="1" applyBorder="1"/>
    <xf numFmtId="4" fontId="12" fillId="0" borderId="0" xfId="0" applyNumberFormat="1" applyFont="1" applyFill="1"/>
    <xf numFmtId="4" fontId="2" fillId="0" borderId="0" xfId="0" applyNumberFormat="1" applyFont="1" applyFill="1" applyBorder="1"/>
    <xf numFmtId="4" fontId="2" fillId="0" borderId="0" xfId="0" applyNumberFormat="1" applyFont="1" applyFill="1"/>
    <xf numFmtId="6" fontId="0" fillId="0" borderId="0" xfId="0" applyNumberFormat="1" applyFill="1" applyBorder="1"/>
    <xf numFmtId="6" fontId="0" fillId="0" borderId="0" xfId="0" applyNumberFormat="1" applyFill="1"/>
    <xf numFmtId="8" fontId="0" fillId="0" borderId="0" xfId="0" applyNumberFormat="1" applyFill="1" applyBorder="1"/>
    <xf numFmtId="8" fontId="0" fillId="0" borderId="0" xfId="0" applyNumberFormat="1" applyFill="1"/>
    <xf numFmtId="0" fontId="0" fillId="0" borderId="0" xfId="0" quotePrefix="1"/>
    <xf numFmtId="3" fontId="8" fillId="11" borderId="0" xfId="0" applyNumberFormat="1" applyFont="1" applyFill="1"/>
    <xf numFmtId="0" fontId="0" fillId="12" borderId="0" xfId="0" applyFill="1"/>
    <xf numFmtId="3" fontId="0" fillId="0" borderId="0" xfId="0" applyNumberFormat="1" applyFill="1" applyBorder="1" applyAlignment="1">
      <alignment horizontal="center" wrapText="1"/>
    </xf>
    <xf numFmtId="167" fontId="2" fillId="12" borderId="0" xfId="0" applyNumberFormat="1" applyFont="1" applyFill="1"/>
    <xf numFmtId="4" fontId="2" fillId="0" borderId="0" xfId="0" applyNumberFormat="1" applyFont="1" applyFill="1" applyAlignment="1">
      <alignment horizontal="center" wrapText="1"/>
    </xf>
    <xf numFmtId="4" fontId="2" fillId="0" borderId="0" xfId="0" applyNumberFormat="1" applyFont="1" applyBorder="1"/>
    <xf numFmtId="164" fontId="12" fillId="0" borderId="0" xfId="0" applyNumberFormat="1" applyFont="1" applyFill="1" applyAlignment="1">
      <alignment horizontal="right"/>
    </xf>
    <xf numFmtId="9" fontId="0" fillId="0" borderId="0" xfId="0" applyNumberFormat="1" applyFill="1" applyBorder="1"/>
    <xf numFmtId="0" fontId="0" fillId="10" borderId="0" xfId="0" applyFill="1"/>
    <xf numFmtId="167" fontId="0" fillId="10" borderId="0" xfId="0" applyNumberFormat="1" applyFill="1"/>
    <xf numFmtId="3" fontId="0" fillId="0" borderId="0" xfId="0" applyNumberFormat="1" applyFill="1" applyBorder="1" applyAlignment="1">
      <alignment vertical="center"/>
    </xf>
    <xf numFmtId="0" fontId="0" fillId="0" borderId="28" xfId="0" applyFill="1" applyBorder="1" applyAlignment="1">
      <alignment horizontal="right" vertical="center"/>
    </xf>
    <xf numFmtId="3" fontId="8" fillId="0" borderId="0" xfId="0" applyNumberFormat="1" applyFont="1" applyFill="1" applyBorder="1" applyAlignment="1">
      <alignment horizontal="center" wrapText="1"/>
    </xf>
    <xf numFmtId="3" fontId="12" fillId="10" borderId="0" xfId="0" applyNumberFormat="1" applyFont="1" applyFill="1"/>
    <xf numFmtId="0" fontId="12" fillId="10" borderId="0" xfId="0" applyFont="1" applyFill="1" applyProtection="1">
      <protection locked="0"/>
    </xf>
    <xf numFmtId="0" fontId="0" fillId="10" borderId="0" xfId="0" quotePrefix="1" applyFill="1"/>
    <xf numFmtId="0" fontId="0" fillId="0" borderId="0" xfId="0" quotePrefix="1" applyFill="1"/>
    <xf numFmtId="3" fontId="0" fillId="0" borderId="0" xfId="0" applyNumberFormat="1" applyFont="1" applyFill="1"/>
    <xf numFmtId="0" fontId="0" fillId="0" borderId="0" xfId="0" applyFont="1" applyFill="1"/>
    <xf numFmtId="3" fontId="8"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ill="1" applyBorder="1" applyAlignment="1">
      <alignment horizontal="right" vertical="center"/>
    </xf>
    <xf numFmtId="0" fontId="40" fillId="0" borderId="0" xfId="0" applyFont="1" applyFill="1"/>
    <xf numFmtId="3" fontId="40" fillId="0" borderId="0" xfId="0" applyNumberFormat="1" applyFont="1" applyFill="1" applyAlignment="1">
      <alignment horizontal="right"/>
    </xf>
    <xf numFmtId="3" fontId="40" fillId="0" borderId="0" xfId="0" applyNumberFormat="1" applyFont="1" applyFill="1"/>
    <xf numFmtId="3" fontId="0" fillId="13" borderId="0" xfId="0" applyNumberFormat="1" applyFont="1" applyFill="1"/>
    <xf numFmtId="3" fontId="41" fillId="0" borderId="0" xfId="0" applyNumberFormat="1" applyFont="1" applyFill="1" applyAlignment="1">
      <alignment horizontal="center"/>
    </xf>
    <xf numFmtId="3" fontId="41" fillId="0" borderId="0" xfId="0" applyNumberFormat="1" applyFont="1" applyFill="1" applyAlignment="1">
      <alignment horizontal="center" vertical="top" wrapText="1"/>
    </xf>
    <xf numFmtId="0" fontId="0" fillId="0" borderId="0" xfId="0" applyFont="1" applyFill="1" applyAlignment="1">
      <alignment horizontal="center"/>
    </xf>
    <xf numFmtId="3" fontId="41" fillId="0" borderId="0" xfId="0" applyNumberFormat="1" applyFont="1" applyFill="1" applyAlignment="1">
      <alignment horizontal="center" wrapText="1"/>
    </xf>
    <xf numFmtId="3" fontId="0" fillId="0" borderId="0" xfId="0" applyNumberFormat="1" applyFont="1" applyFill="1" applyAlignment="1">
      <alignment horizontal="center"/>
    </xf>
    <xf numFmtId="0" fontId="0" fillId="0" borderId="29" xfId="0" applyFont="1" applyFill="1" applyBorder="1"/>
    <xf numFmtId="3" fontId="0" fillId="0" borderId="29" xfId="0" applyNumberFormat="1" applyFont="1" applyFill="1" applyBorder="1"/>
    <xf numFmtId="0" fontId="40" fillId="0" borderId="29" xfId="0" applyFont="1" applyFill="1" applyBorder="1"/>
    <xf numFmtId="3" fontId="40" fillId="0" borderId="29" xfId="0" applyNumberFormat="1" applyFont="1" applyFill="1" applyBorder="1"/>
    <xf numFmtId="0" fontId="40" fillId="13" borderId="0" xfId="0" applyFont="1" applyFill="1"/>
    <xf numFmtId="0" fontId="0" fillId="13" borderId="0" xfId="0" applyFont="1" applyFill="1"/>
    <xf numFmtId="0" fontId="0" fillId="13" borderId="0" xfId="0" applyFont="1" applyFill="1" applyAlignment="1">
      <alignment horizontal="center"/>
    </xf>
    <xf numFmtId="3" fontId="41" fillId="13" borderId="0" xfId="0" applyNumberFormat="1" applyFont="1" applyFill="1" applyAlignment="1">
      <alignment horizontal="center"/>
    </xf>
    <xf numFmtId="3" fontId="41" fillId="13" borderId="0" xfId="0" applyNumberFormat="1" applyFont="1" applyFill="1" applyAlignment="1">
      <alignment horizontal="center" wrapText="1"/>
    </xf>
    <xf numFmtId="3" fontId="0" fillId="13" borderId="0" xfId="0" applyNumberFormat="1" applyFont="1" applyFill="1" applyAlignment="1">
      <alignment horizontal="center"/>
    </xf>
    <xf numFmtId="0" fontId="2" fillId="13" borderId="0" xfId="0" applyFont="1" applyFill="1"/>
    <xf numFmtId="0" fontId="2" fillId="13" borderId="29" xfId="0" applyFont="1" applyFill="1" applyBorder="1"/>
    <xf numFmtId="3" fontId="2" fillId="13" borderId="0" xfId="0" applyNumberFormat="1" applyFont="1" applyFill="1"/>
    <xf numFmtId="3" fontId="2" fillId="13" borderId="29" xfId="0" applyNumberFormat="1" applyFont="1" applyFill="1" applyBorder="1"/>
    <xf numFmtId="0" fontId="41" fillId="0" borderId="0" xfId="0" applyFont="1" applyFill="1"/>
    <xf numFmtId="0" fontId="41" fillId="0" borderId="0" xfId="0" applyFont="1" applyFill="1" applyAlignment="1">
      <alignment vertical="top" wrapText="1"/>
    </xf>
    <xf numFmtId="0" fontId="30" fillId="0" borderId="0" xfId="0" applyFont="1" applyFill="1" applyBorder="1" applyAlignment="1">
      <alignment vertical="top" wrapText="1"/>
    </xf>
    <xf numFmtId="3" fontId="30" fillId="0" borderId="0" xfId="0" applyNumberFormat="1" applyFont="1" applyFill="1" applyAlignment="1">
      <alignment vertical="top" wrapText="1"/>
    </xf>
    <xf numFmtId="0" fontId="30" fillId="0" borderId="0" xfId="0" applyFont="1" applyFill="1" applyAlignment="1">
      <alignment vertical="top" wrapText="1"/>
    </xf>
    <xf numFmtId="0" fontId="30" fillId="0" borderId="0" xfId="0" applyFont="1" applyFill="1"/>
    <xf numFmtId="3" fontId="30" fillId="0" borderId="0" xfId="0" applyNumberFormat="1" applyFont="1" applyFill="1"/>
    <xf numFmtId="0" fontId="30" fillId="0" borderId="0" xfId="0" applyFont="1" applyFill="1" applyBorder="1"/>
    <xf numFmtId="0" fontId="30" fillId="0" borderId="0" xfId="0" applyFont="1" applyFill="1" applyBorder="1" applyAlignment="1">
      <alignment horizontal="center"/>
    </xf>
    <xf numFmtId="3" fontId="30" fillId="0" borderId="0" xfId="0" applyNumberFormat="1" applyFont="1" applyFill="1" applyAlignment="1">
      <alignment horizontal="center"/>
    </xf>
    <xf numFmtId="3" fontId="30" fillId="0" borderId="23" xfId="0" applyNumberFormat="1" applyFont="1" applyFill="1" applyBorder="1" applyAlignment="1">
      <alignment horizontal="center"/>
    </xf>
    <xf numFmtId="3" fontId="30" fillId="0" borderId="0" xfId="0" applyNumberFormat="1" applyFont="1" applyFill="1" applyBorder="1" applyAlignment="1">
      <alignment horizontal="center"/>
    </xf>
    <xf numFmtId="0" fontId="30" fillId="0" borderId="29" xfId="0" applyFont="1" applyFill="1" applyBorder="1" applyAlignment="1">
      <alignment vertical="top" wrapText="1"/>
    </xf>
    <xf numFmtId="3" fontId="30" fillId="0" borderId="29" xfId="0" applyNumberFormat="1" applyFont="1" applyFill="1" applyBorder="1" applyAlignment="1">
      <alignment vertical="top" wrapText="1"/>
    </xf>
    <xf numFmtId="3" fontId="30" fillId="14" borderId="0" xfId="0" applyNumberFormat="1" applyFont="1" applyFill="1" applyAlignment="1">
      <alignment vertical="top" wrapText="1"/>
    </xf>
    <xf numFmtId="0" fontId="30" fillId="10" borderId="0" xfId="0" applyFont="1" applyFill="1" applyAlignment="1">
      <alignment vertical="top" wrapText="1"/>
    </xf>
    <xf numFmtId="3" fontId="30" fillId="10" borderId="0" xfId="0" applyNumberFormat="1" applyFont="1" applyFill="1"/>
    <xf numFmtId="0" fontId="30" fillId="10" borderId="0" xfId="0" applyFont="1" applyFill="1" applyBorder="1"/>
    <xf numFmtId="0" fontId="30" fillId="10" borderId="29" xfId="0" applyFont="1" applyFill="1" applyBorder="1"/>
    <xf numFmtId="3" fontId="30" fillId="10" borderId="29" xfId="0" applyNumberFormat="1" applyFont="1" applyFill="1" applyBorder="1"/>
    <xf numFmtId="0" fontId="30" fillId="10" borderId="0" xfId="0" applyFont="1" applyFill="1"/>
    <xf numFmtId="0" fontId="41" fillId="10" borderId="0" xfId="0" applyFont="1" applyFill="1"/>
    <xf numFmtId="0" fontId="12" fillId="0" borderId="0" xfId="1" applyAlignment="1"/>
    <xf numFmtId="3" fontId="0" fillId="10" borderId="0" xfId="0" applyNumberFormat="1" applyFill="1"/>
    <xf numFmtId="3" fontId="2" fillId="0" borderId="0" xfId="0" applyNumberFormat="1" applyFont="1" applyAlignment="1">
      <alignment horizontal="center"/>
    </xf>
    <xf numFmtId="0" fontId="0" fillId="0" borderId="0" xfId="0" applyAlignment="1">
      <alignment horizontal="center"/>
    </xf>
    <xf numFmtId="3" fontId="8" fillId="10" borderId="0" xfId="0" applyNumberFormat="1" applyFont="1" applyFill="1" applyAlignment="1">
      <alignment horizontal="center" wrapText="1"/>
    </xf>
    <xf numFmtId="0" fontId="12" fillId="0" borderId="0" xfId="0" applyNumberFormat="1" applyFont="1" applyFill="1" applyAlignment="1">
      <alignment horizontal="right"/>
    </xf>
    <xf numFmtId="3" fontId="8" fillId="10" borderId="0" xfId="0" applyNumberFormat="1" applyFont="1" applyFill="1"/>
    <xf numFmtId="10" fontId="0" fillId="0" borderId="0" xfId="0" applyNumberFormat="1"/>
    <xf numFmtId="3" fontId="0" fillId="0" borderId="0" xfId="0" applyNumberFormat="1" applyAlignment="1">
      <alignment horizontal="center"/>
    </xf>
    <xf numFmtId="0" fontId="0" fillId="0" borderId="1" xfId="0" applyNumberFormat="1" applyFill="1" applyBorder="1"/>
    <xf numFmtId="3" fontId="0" fillId="0" borderId="30" xfId="0" applyNumberFormat="1" applyFill="1" applyBorder="1"/>
    <xf numFmtId="3" fontId="0" fillId="0" borderId="30" xfId="0" applyNumberFormat="1" applyBorder="1"/>
    <xf numFmtId="3" fontId="0" fillId="0" borderId="2" xfId="0" applyNumberFormat="1" applyBorder="1"/>
    <xf numFmtId="3" fontId="0" fillId="0" borderId="0" xfId="0" applyNumberFormat="1" applyBorder="1" applyAlignment="1">
      <alignment horizontal="center"/>
    </xf>
    <xf numFmtId="3" fontId="0" fillId="0" borderId="4" xfId="0" applyNumberFormat="1" applyBorder="1"/>
    <xf numFmtId="0" fontId="0" fillId="0" borderId="3" xfId="0" applyNumberFormat="1" applyFill="1" applyBorder="1"/>
    <xf numFmtId="10" fontId="0" fillId="0" borderId="0" xfId="0" applyNumberFormat="1" applyBorder="1"/>
    <xf numFmtId="0" fontId="0" fillId="0" borderId="5" xfId="0" applyNumberFormat="1" applyFill="1" applyBorder="1"/>
    <xf numFmtId="3" fontId="0" fillId="0" borderId="13" xfId="0" applyNumberFormat="1" applyFill="1" applyBorder="1"/>
    <xf numFmtId="3" fontId="0" fillId="0" borderId="13" xfId="0" applyNumberFormat="1" applyBorder="1"/>
    <xf numFmtId="3" fontId="0" fillId="0" borderId="6" xfId="0" applyNumberFormat="1" applyBorder="1"/>
    <xf numFmtId="0" fontId="8" fillId="0" borderId="0" xfId="1" applyFont="1" applyBorder="1"/>
    <xf numFmtId="0" fontId="12" fillId="0" borderId="0" xfId="1"/>
    <xf numFmtId="0" fontId="12" fillId="0" borderId="0" xfId="1" applyAlignment="1">
      <alignment horizontal="center"/>
    </xf>
    <xf numFmtId="167" fontId="12" fillId="0" borderId="0" xfId="1" applyNumberFormat="1" applyAlignment="1">
      <alignment horizontal="center"/>
    </xf>
    <xf numFmtId="3" fontId="12" fillId="0" borderId="0" xfId="1" applyNumberFormat="1" applyAlignment="1">
      <alignment horizontal="center"/>
    </xf>
    <xf numFmtId="170" fontId="12" fillId="0" borderId="0" xfId="1" applyNumberFormat="1" applyAlignment="1">
      <alignment horizontal="center"/>
    </xf>
    <xf numFmtId="167" fontId="12" fillId="0" borderId="0" xfId="1" applyNumberFormat="1" applyAlignment="1"/>
    <xf numFmtId="167" fontId="12" fillId="0" borderId="0" xfId="1" applyNumberFormat="1" applyFill="1" applyBorder="1"/>
    <xf numFmtId="0" fontId="12" fillId="0" borderId="0" xfId="1" applyFill="1" applyBorder="1"/>
    <xf numFmtId="0" fontId="12" fillId="0" borderId="0" xfId="1" applyBorder="1"/>
    <xf numFmtId="170" fontId="8" fillId="3" borderId="19" xfId="1" applyNumberFormat="1" applyFont="1" applyFill="1" applyBorder="1" applyAlignment="1">
      <alignment horizontal="centerContinuous"/>
    </xf>
    <xf numFmtId="0" fontId="8" fillId="3" borderId="20" xfId="1" applyFont="1" applyFill="1" applyBorder="1" applyAlignment="1">
      <alignment horizontal="centerContinuous"/>
    </xf>
    <xf numFmtId="170" fontId="8" fillId="3" borderId="20" xfId="1" applyNumberFormat="1" applyFont="1" applyFill="1" applyBorder="1" applyAlignment="1">
      <alignment horizontal="centerContinuous"/>
    </xf>
    <xf numFmtId="170" fontId="8" fillId="3" borderId="31" xfId="1" applyNumberFormat="1" applyFont="1" applyFill="1" applyBorder="1" applyAlignment="1">
      <alignment horizontal="centerContinuous"/>
    </xf>
    <xf numFmtId="0" fontId="8" fillId="0" borderId="0" xfId="1" applyFont="1"/>
    <xf numFmtId="0" fontId="8" fillId="3" borderId="24" xfId="1" applyFont="1" applyFill="1" applyBorder="1"/>
    <xf numFmtId="0" fontId="8" fillId="3" borderId="32" xfId="1" applyFont="1" applyFill="1" applyBorder="1" applyAlignment="1">
      <alignment horizontal="centerContinuous" vertical="center" readingOrder="1"/>
    </xf>
    <xf numFmtId="167" fontId="8" fillId="3" borderId="32" xfId="1" applyNumberFormat="1" applyFont="1" applyFill="1" applyBorder="1" applyAlignment="1">
      <alignment horizontal="centerContinuous" vertical="center" readingOrder="1"/>
    </xf>
    <xf numFmtId="0" fontId="8" fillId="3" borderId="32" xfId="1" applyFont="1" applyFill="1" applyBorder="1" applyAlignment="1">
      <alignment horizontal="center"/>
    </xf>
    <xf numFmtId="0" fontId="8" fillId="10" borderId="32" xfId="1" applyFont="1" applyFill="1" applyBorder="1" applyAlignment="1">
      <alignment horizontal="centerContinuous" vertical="center"/>
    </xf>
    <xf numFmtId="167" fontId="8" fillId="10" borderId="32" xfId="1" applyNumberFormat="1" applyFont="1" applyFill="1" applyBorder="1" applyAlignment="1">
      <alignment horizontal="centerContinuous" vertical="center"/>
    </xf>
    <xf numFmtId="3" fontId="8" fillId="10" borderId="32" xfId="1" applyNumberFormat="1" applyFont="1" applyFill="1" applyBorder="1" applyAlignment="1">
      <alignment horizontal="centerContinuous" vertical="center"/>
    </xf>
    <xf numFmtId="0" fontId="8" fillId="3" borderId="32" xfId="1" applyFont="1" applyFill="1" applyBorder="1"/>
    <xf numFmtId="170" fontId="8" fillId="3" borderId="32" xfId="1" applyNumberFormat="1" applyFont="1" applyFill="1" applyBorder="1" applyAlignment="1">
      <alignment horizontal="center"/>
    </xf>
    <xf numFmtId="0" fontId="8" fillId="3" borderId="32" xfId="1" applyFont="1" applyFill="1" applyBorder="1" applyAlignment="1">
      <alignment horizontal="centerContinuous"/>
    </xf>
    <xf numFmtId="167" fontId="8" fillId="3" borderId="32" xfId="1" applyNumberFormat="1" applyFont="1" applyFill="1" applyBorder="1" applyAlignment="1">
      <alignment horizontal="centerContinuous"/>
    </xf>
    <xf numFmtId="167" fontId="8" fillId="15" borderId="32" xfId="1" applyNumberFormat="1" applyFont="1" applyFill="1" applyBorder="1" applyAlignment="1">
      <alignment horizontal="center"/>
    </xf>
    <xf numFmtId="0" fontId="8" fillId="15" borderId="32" xfId="1" applyFont="1" applyFill="1" applyBorder="1"/>
    <xf numFmtId="167" fontId="8" fillId="0" borderId="0" xfId="1" applyNumberFormat="1" applyFont="1" applyFill="1" applyBorder="1"/>
    <xf numFmtId="0" fontId="8" fillId="0" borderId="0" xfId="1" applyFont="1" applyFill="1" applyBorder="1"/>
    <xf numFmtId="0" fontId="12" fillId="3" borderId="27" xfId="1" applyFill="1" applyBorder="1"/>
    <xf numFmtId="0" fontId="12" fillId="0" borderId="23" xfId="1" applyBorder="1" applyAlignment="1">
      <alignment horizontal="center"/>
    </xf>
    <xf numFmtId="167" fontId="12" fillId="0" borderId="23" xfId="1" applyNumberFormat="1" applyBorder="1" applyAlignment="1">
      <alignment horizontal="center"/>
    </xf>
    <xf numFmtId="0" fontId="12" fillId="3" borderId="23" xfId="1" applyFill="1" applyBorder="1" applyAlignment="1">
      <alignment horizontal="center"/>
    </xf>
    <xf numFmtId="3" fontId="12" fillId="0" borderId="23" xfId="1" applyNumberFormat="1" applyBorder="1" applyAlignment="1">
      <alignment horizontal="center"/>
    </xf>
    <xf numFmtId="0" fontId="12" fillId="3" borderId="23" xfId="1" applyFill="1" applyBorder="1"/>
    <xf numFmtId="170" fontId="12" fillId="0" borderId="23" xfId="1" applyNumberFormat="1" applyBorder="1" applyAlignment="1">
      <alignment horizontal="center"/>
    </xf>
    <xf numFmtId="0" fontId="12" fillId="0" borderId="23" xfId="1" applyBorder="1" applyAlignment="1"/>
    <xf numFmtId="167" fontId="12" fillId="0" borderId="23" xfId="1" applyNumberFormat="1" applyBorder="1" applyAlignment="1"/>
    <xf numFmtId="0" fontId="12" fillId="15" borderId="23" xfId="1" applyFill="1" applyBorder="1"/>
    <xf numFmtId="0" fontId="8" fillId="0" borderId="12" xfId="1" applyFont="1" applyBorder="1" applyAlignment="1">
      <alignment horizontal="center" vertical="center" wrapText="1"/>
    </xf>
    <xf numFmtId="0" fontId="8" fillId="3" borderId="32" xfId="1" applyFont="1" applyFill="1" applyBorder="1" applyAlignment="1">
      <alignment horizontal="center" vertical="center" wrapText="1"/>
    </xf>
    <xf numFmtId="0" fontId="8" fillId="0" borderId="12" xfId="34" applyFont="1" applyFill="1" applyBorder="1" applyAlignment="1">
      <alignment horizontal="center" vertical="center" wrapText="1"/>
    </xf>
    <xf numFmtId="167" fontId="8" fillId="0" borderId="12" xfId="1" applyNumberFormat="1" applyFont="1" applyBorder="1" applyAlignment="1">
      <alignment horizontal="center" vertical="center" wrapText="1"/>
    </xf>
    <xf numFmtId="0" fontId="8" fillId="11" borderId="12" xfId="1" applyFont="1" applyFill="1" applyBorder="1" applyAlignment="1">
      <alignment horizontal="center" vertical="center" wrapText="1"/>
    </xf>
    <xf numFmtId="167" fontId="8" fillId="15" borderId="12" xfId="1" applyNumberFormat="1" applyFont="1" applyFill="1" applyBorder="1" applyAlignment="1">
      <alignment horizontal="center" vertical="center" wrapText="1"/>
    </xf>
    <xf numFmtId="3" fontId="8" fillId="15" borderId="12" xfId="1" applyNumberFormat="1" applyFont="1" applyFill="1" applyBorder="1" applyAlignment="1">
      <alignment horizontal="center" vertical="center" wrapText="1"/>
    </xf>
    <xf numFmtId="170" fontId="8" fillId="15" borderId="12" xfId="1" applyNumberFormat="1" applyFont="1" applyFill="1" applyBorder="1" applyAlignment="1">
      <alignment horizontal="center" vertical="center" wrapText="1"/>
    </xf>
    <xf numFmtId="0" fontId="8" fillId="15" borderId="32"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12" fillId="0" borderId="18" xfId="1" applyBorder="1"/>
    <xf numFmtId="0" fontId="12" fillId="3" borderId="0" xfId="1" applyFill="1" applyBorder="1"/>
    <xf numFmtId="0" fontId="12" fillId="0" borderId="0" xfId="1" applyBorder="1" applyAlignment="1">
      <alignment horizontal="center"/>
    </xf>
    <xf numFmtId="0" fontId="12" fillId="0" borderId="20" xfId="1" applyBorder="1" applyAlignment="1">
      <alignment horizontal="center"/>
    </xf>
    <xf numFmtId="167" fontId="12" fillId="0" borderId="0" xfId="1" applyNumberFormat="1" applyBorder="1" applyAlignment="1">
      <alignment horizontal="center"/>
    </xf>
    <xf numFmtId="0" fontId="12" fillId="3" borderId="0" xfId="1" applyFill="1" applyBorder="1" applyAlignment="1">
      <alignment horizontal="center"/>
    </xf>
    <xf numFmtId="3" fontId="12" fillId="0" borderId="0" xfId="1" applyNumberFormat="1" applyBorder="1" applyAlignment="1">
      <alignment horizontal="center"/>
    </xf>
    <xf numFmtId="170" fontId="12" fillId="0" borderId="20" xfId="1" applyNumberFormat="1" applyBorder="1" applyAlignment="1">
      <alignment horizontal="center"/>
    </xf>
    <xf numFmtId="170" fontId="12" fillId="0" borderId="0" xfId="1" applyNumberFormat="1" applyBorder="1" applyAlignment="1">
      <alignment horizontal="center"/>
    </xf>
    <xf numFmtId="167" fontId="12" fillId="0" borderId="31" xfId="1" applyNumberFormat="1" applyBorder="1" applyAlignment="1">
      <alignment horizontal="center"/>
    </xf>
    <xf numFmtId="0" fontId="12" fillId="15" borderId="0" xfId="1" applyFill="1" applyBorder="1"/>
    <xf numFmtId="0" fontId="12" fillId="15" borderId="24" xfId="1" applyFill="1" applyBorder="1" applyAlignment="1">
      <alignment horizontal="center"/>
    </xf>
    <xf numFmtId="0" fontId="12" fillId="15" borderId="0" xfId="1" applyFill="1" applyBorder="1" applyAlignment="1">
      <alignment horizontal="center"/>
    </xf>
    <xf numFmtId="167" fontId="12" fillId="15" borderId="32" xfId="1" applyNumberFormat="1" applyFill="1" applyBorder="1" applyAlignment="1">
      <alignment horizontal="center"/>
    </xf>
    <xf numFmtId="0" fontId="12" fillId="15" borderId="32" xfId="1" applyFill="1" applyBorder="1" applyAlignment="1">
      <alignment horizontal="center"/>
    </xf>
    <xf numFmtId="167" fontId="8" fillId="15" borderId="25" xfId="1" applyNumberFormat="1" applyFont="1" applyFill="1" applyBorder="1" applyAlignment="1">
      <alignment horizontal="center"/>
    </xf>
    <xf numFmtId="1" fontId="12" fillId="15" borderId="24" xfId="1" applyNumberFormat="1" applyFill="1" applyBorder="1" applyAlignment="1">
      <alignment horizontal="center"/>
    </xf>
    <xf numFmtId="3" fontId="12" fillId="15" borderId="24" xfId="1" applyNumberFormat="1" applyFill="1" applyBorder="1" applyAlignment="1">
      <alignment horizontal="center"/>
    </xf>
    <xf numFmtId="3" fontId="8" fillId="15" borderId="25" xfId="1" applyNumberFormat="1" applyFont="1" applyFill="1" applyBorder="1" applyAlignment="1">
      <alignment horizontal="center"/>
    </xf>
    <xf numFmtId="167" fontId="8" fillId="15" borderId="16" xfId="1" quotePrefix="1" applyNumberFormat="1" applyFont="1" applyFill="1" applyBorder="1" applyAlignment="1">
      <alignment horizontal="center"/>
    </xf>
    <xf numFmtId="0" fontId="8" fillId="3" borderId="0" xfId="1" applyFont="1" applyFill="1" applyBorder="1"/>
    <xf numFmtId="167" fontId="8" fillId="16" borderId="33" xfId="1" applyNumberFormat="1" applyFont="1" applyFill="1" applyBorder="1" applyAlignment="1">
      <alignment horizontal="center"/>
    </xf>
    <xf numFmtId="167" fontId="8" fillId="15" borderId="33" xfId="1" applyNumberFormat="1" applyFont="1" applyFill="1" applyBorder="1" applyAlignment="1">
      <alignment horizontal="center"/>
    </xf>
    <xf numFmtId="167" fontId="12" fillId="17" borderId="24" xfId="1" applyNumberFormat="1" applyFill="1" applyBorder="1" applyAlignment="1">
      <alignment horizontal="center"/>
    </xf>
    <xf numFmtId="167" fontId="12" fillId="17" borderId="32" xfId="1" applyNumberFormat="1" applyFill="1" applyBorder="1" applyAlignment="1">
      <alignment horizontal="center"/>
    </xf>
    <xf numFmtId="167" fontId="8" fillId="17" borderId="25" xfId="1" applyNumberFormat="1" applyFont="1" applyFill="1" applyBorder="1" applyAlignment="1">
      <alignment horizontal="center"/>
    </xf>
    <xf numFmtId="167" fontId="43" fillId="15" borderId="33" xfId="1" applyNumberFormat="1" applyFont="1" applyFill="1" applyBorder="1" applyAlignment="1">
      <alignment horizontal="center"/>
    </xf>
    <xf numFmtId="167" fontId="43" fillId="15" borderId="12" xfId="0" applyNumberFormat="1" applyFont="1" applyFill="1" applyBorder="1" applyAlignment="1">
      <alignment horizontal="center"/>
    </xf>
    <xf numFmtId="0" fontId="12" fillId="15" borderId="18" xfId="1" applyFill="1" applyBorder="1" applyAlignment="1">
      <alignment horizontal="center"/>
    </xf>
    <xf numFmtId="167" fontId="8" fillId="15" borderId="26" xfId="1" applyNumberFormat="1" applyFont="1" applyFill="1" applyBorder="1" applyAlignment="1">
      <alignment horizontal="center"/>
    </xf>
    <xf numFmtId="3" fontId="8" fillId="15" borderId="26" xfId="1" applyNumberFormat="1" applyFont="1" applyFill="1" applyBorder="1" applyAlignment="1">
      <alignment horizontal="center"/>
    </xf>
    <xf numFmtId="167" fontId="8" fillId="16" borderId="16" xfId="1" applyNumberFormat="1" applyFont="1" applyFill="1" applyBorder="1" applyAlignment="1">
      <alignment horizontal="center"/>
    </xf>
    <xf numFmtId="167" fontId="8" fillId="15" borderId="16" xfId="1" applyNumberFormat="1" applyFont="1" applyFill="1" applyBorder="1" applyAlignment="1">
      <alignment horizontal="center"/>
    </xf>
    <xf numFmtId="167" fontId="12" fillId="17" borderId="18" xfId="1" applyNumberFormat="1" applyFill="1" applyBorder="1" applyAlignment="1">
      <alignment horizontal="center"/>
    </xf>
    <xf numFmtId="167" fontId="12" fillId="17" borderId="0" xfId="1" applyNumberFormat="1" applyFill="1" applyBorder="1" applyAlignment="1">
      <alignment horizontal="center"/>
    </xf>
    <xf numFmtId="167" fontId="8" fillId="17" borderId="26" xfId="1" applyNumberFormat="1" applyFont="1" applyFill="1" applyBorder="1" applyAlignment="1">
      <alignment horizontal="center"/>
    </xf>
    <xf numFmtId="167" fontId="43" fillId="15" borderId="16" xfId="1" applyNumberFormat="1" applyFont="1" applyFill="1" applyBorder="1" applyAlignment="1">
      <alignment horizontal="center"/>
    </xf>
    <xf numFmtId="0" fontId="12" fillId="0" borderId="18" xfId="1" applyFont="1" applyBorder="1"/>
    <xf numFmtId="0" fontId="12" fillId="0" borderId="0" xfId="1" applyFont="1" applyBorder="1"/>
    <xf numFmtId="0" fontId="12" fillId="15" borderId="0" xfId="1" applyFont="1" applyFill="1" applyBorder="1" applyAlignment="1">
      <alignment horizontal="center"/>
    </xf>
    <xf numFmtId="0" fontId="12" fillId="0" borderId="18" xfId="1" applyFill="1" applyBorder="1"/>
    <xf numFmtId="0" fontId="42" fillId="18" borderId="0" xfId="1" applyFont="1" applyFill="1" applyBorder="1" applyAlignment="1">
      <alignment horizontal="center"/>
    </xf>
    <xf numFmtId="0" fontId="12" fillId="19" borderId="0" xfId="1" applyFill="1" applyBorder="1"/>
    <xf numFmtId="0" fontId="12" fillId="15" borderId="27" xfId="1" applyFill="1" applyBorder="1" applyAlignment="1">
      <alignment horizontal="center"/>
    </xf>
    <xf numFmtId="0" fontId="12" fillId="15" borderId="23" xfId="1" applyFill="1" applyBorder="1" applyAlignment="1">
      <alignment horizontal="center"/>
    </xf>
    <xf numFmtId="167" fontId="8" fillId="15" borderId="17" xfId="1" applyNumberFormat="1" applyFont="1" applyFill="1" applyBorder="1" applyAlignment="1">
      <alignment horizontal="center"/>
    </xf>
    <xf numFmtId="3" fontId="8" fillId="15" borderId="17" xfId="1" applyNumberFormat="1" applyFont="1" applyFill="1" applyBorder="1" applyAlignment="1">
      <alignment horizontal="center"/>
    </xf>
    <xf numFmtId="167" fontId="8" fillId="15" borderId="11" xfId="1" quotePrefix="1" applyNumberFormat="1" applyFont="1" applyFill="1" applyBorder="1" applyAlignment="1">
      <alignment horizontal="center"/>
    </xf>
    <xf numFmtId="167" fontId="8" fillId="16" borderId="11" xfId="1" applyNumberFormat="1" applyFont="1" applyFill="1" applyBorder="1" applyAlignment="1">
      <alignment horizontal="center"/>
    </xf>
    <xf numFmtId="167" fontId="8" fillId="15" borderId="11" xfId="1" applyNumberFormat="1" applyFont="1" applyFill="1" applyBorder="1" applyAlignment="1">
      <alignment horizontal="center"/>
    </xf>
    <xf numFmtId="167" fontId="12" fillId="17" borderId="27" xfId="1" applyNumberFormat="1" applyFill="1" applyBorder="1" applyAlignment="1">
      <alignment horizontal="center"/>
    </xf>
    <xf numFmtId="167" fontId="8" fillId="17" borderId="17" xfId="1" applyNumberFormat="1" applyFont="1" applyFill="1" applyBorder="1" applyAlignment="1">
      <alignment horizontal="center"/>
    </xf>
    <xf numFmtId="167" fontId="43" fillId="15" borderId="11" xfId="1" applyNumberFormat="1" applyFont="1" applyFill="1" applyBorder="1" applyAlignment="1">
      <alignment horizontal="center"/>
    </xf>
    <xf numFmtId="0" fontId="12" fillId="0" borderId="0" xfId="1" applyFill="1" applyBorder="1" applyAlignment="1">
      <alignment horizontal="center"/>
    </xf>
    <xf numFmtId="170" fontId="8" fillId="0" borderId="0" xfId="1" applyNumberFormat="1" applyFont="1" applyBorder="1" applyAlignment="1">
      <alignment horizontal="center"/>
    </xf>
    <xf numFmtId="0" fontId="43" fillId="0" borderId="18" xfId="1" applyFont="1" applyFill="1" applyBorder="1"/>
    <xf numFmtId="0" fontId="43" fillId="0" borderId="0" xfId="1" applyFont="1" applyBorder="1"/>
    <xf numFmtId="0" fontId="43" fillId="3" borderId="0" xfId="1" applyFont="1" applyFill="1" applyBorder="1"/>
    <xf numFmtId="167" fontId="43" fillId="0" borderId="20" xfId="1" applyNumberFormat="1" applyFont="1" applyBorder="1" applyAlignment="1">
      <alignment horizontal="center"/>
    </xf>
    <xf numFmtId="171" fontId="44" fillId="0" borderId="0" xfId="12" applyNumberFormat="1" applyFont="1" applyFill="1" applyBorder="1" applyAlignment="1">
      <alignment horizontal="center"/>
    </xf>
    <xf numFmtId="171" fontId="44" fillId="0" borderId="0" xfId="12" applyNumberFormat="1" applyFont="1" applyBorder="1" applyAlignment="1">
      <alignment horizontal="center"/>
    </xf>
    <xf numFmtId="0" fontId="43" fillId="0" borderId="0" xfId="1" applyFont="1" applyBorder="1" applyAlignment="1">
      <alignment horizontal="center"/>
    </xf>
    <xf numFmtId="0" fontId="43" fillId="3" borderId="0" xfId="1" applyFont="1" applyFill="1" applyBorder="1" applyAlignment="1">
      <alignment horizontal="center"/>
    </xf>
    <xf numFmtId="3" fontId="44" fillId="0" borderId="0" xfId="1" applyNumberFormat="1" applyFont="1" applyBorder="1" applyAlignment="1">
      <alignment horizontal="center"/>
    </xf>
    <xf numFmtId="3" fontId="43" fillId="15" borderId="20" xfId="1" applyNumberFormat="1" applyFont="1" applyFill="1" applyBorder="1" applyAlignment="1">
      <alignment horizontal="center"/>
    </xf>
    <xf numFmtId="167" fontId="43" fillId="15" borderId="20" xfId="1" applyNumberFormat="1" applyFont="1" applyFill="1" applyBorder="1" applyAlignment="1">
      <alignment horizontal="center"/>
    </xf>
    <xf numFmtId="167" fontId="43" fillId="15" borderId="12" xfId="1" applyNumberFormat="1" applyFont="1" applyFill="1" applyBorder="1" applyAlignment="1">
      <alignment horizontal="center"/>
    </xf>
    <xf numFmtId="0" fontId="43" fillId="15" borderId="0" xfId="1" applyFont="1" applyFill="1" applyBorder="1"/>
    <xf numFmtId="0" fontId="43" fillId="0" borderId="0" xfId="1" applyFont="1" applyFill="1" applyBorder="1"/>
    <xf numFmtId="0" fontId="43" fillId="0" borderId="0" xfId="1" applyFont="1"/>
    <xf numFmtId="167" fontId="43" fillId="0" borderId="0" xfId="1" applyNumberFormat="1" applyFont="1" applyBorder="1" applyAlignment="1">
      <alignment horizontal="center"/>
    </xf>
    <xf numFmtId="3" fontId="43" fillId="15" borderId="0" xfId="1" applyNumberFormat="1" applyFont="1" applyFill="1" applyBorder="1" applyAlignment="1">
      <alignment horizontal="center"/>
    </xf>
    <xf numFmtId="167" fontId="43" fillId="15" borderId="0" xfId="1" applyNumberFormat="1" applyFont="1" applyFill="1" applyBorder="1" applyAlignment="1">
      <alignment horizontal="center"/>
    </xf>
    <xf numFmtId="0" fontId="8" fillId="0" borderId="12" xfId="0" applyFont="1" applyBorder="1" applyAlignment="1">
      <alignment horizontal="center" vertical="center" wrapText="1"/>
    </xf>
    <xf numFmtId="0" fontId="8" fillId="3" borderId="0" xfId="0" applyFont="1" applyFill="1" applyBorder="1" applyAlignment="1">
      <alignment horizontal="center" vertical="center" wrapText="1"/>
    </xf>
    <xf numFmtId="3" fontId="8" fillId="0" borderId="12" xfId="34" applyNumberFormat="1" applyFont="1" applyFill="1" applyBorder="1" applyAlignment="1">
      <alignment horizontal="center" vertical="center" wrapText="1"/>
    </xf>
    <xf numFmtId="167" fontId="8" fillId="0" borderId="12" xfId="0" applyNumberFormat="1" applyFont="1" applyBorder="1" applyAlignment="1">
      <alignment horizontal="center" vertical="center" wrapText="1"/>
    </xf>
    <xf numFmtId="167" fontId="8" fillId="15" borderId="12" xfId="0" applyNumberFormat="1" applyFont="1" applyFill="1" applyBorder="1" applyAlignment="1">
      <alignment horizontal="center" vertical="center" wrapText="1"/>
    </xf>
    <xf numFmtId="3" fontId="8" fillId="15" borderId="12" xfId="0" applyNumberFormat="1" applyFont="1" applyFill="1" applyBorder="1" applyAlignment="1">
      <alignment horizontal="center" vertical="center" wrapText="1"/>
    </xf>
    <xf numFmtId="170" fontId="8" fillId="15" borderId="12" xfId="0" applyNumberFormat="1" applyFont="1" applyFill="1" applyBorder="1" applyAlignment="1">
      <alignment horizontal="center" vertical="center" wrapText="1"/>
    </xf>
    <xf numFmtId="0" fontId="8" fillId="15"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3" borderId="0" xfId="0" applyFill="1" applyBorder="1"/>
    <xf numFmtId="0" fontId="0" fillId="0" borderId="0" xfId="0" applyBorder="1" applyAlignment="1">
      <alignment horizontal="center"/>
    </xf>
    <xf numFmtId="167" fontId="0" fillId="0" borderId="20" xfId="0" applyNumberFormat="1" applyBorder="1" applyAlignment="1">
      <alignment horizontal="center"/>
    </xf>
    <xf numFmtId="167" fontId="0" fillId="0" borderId="0" xfId="0" applyNumberFormat="1" applyBorder="1" applyAlignment="1">
      <alignment horizontal="center"/>
    </xf>
    <xf numFmtId="0" fontId="0" fillId="3" borderId="0" xfId="0" applyFill="1" applyBorder="1" applyAlignment="1">
      <alignment horizontal="center"/>
    </xf>
    <xf numFmtId="170" fontId="8" fillId="0" borderId="0" xfId="0" applyNumberFormat="1" applyFont="1" applyBorder="1" applyAlignment="1">
      <alignment horizontal="center"/>
    </xf>
    <xf numFmtId="0" fontId="8" fillId="3" borderId="0" xfId="0" applyFont="1" applyFill="1" applyBorder="1"/>
    <xf numFmtId="0" fontId="0" fillId="15" borderId="0" xfId="0" applyFill="1" applyBorder="1"/>
    <xf numFmtId="0" fontId="0" fillId="14" borderId="24" xfId="0" applyFill="1" applyBorder="1" applyAlignment="1">
      <alignment horizontal="center"/>
    </xf>
    <xf numFmtId="0" fontId="0" fillId="14" borderId="32" xfId="0" applyFill="1" applyBorder="1" applyAlignment="1">
      <alignment horizontal="center"/>
    </xf>
    <xf numFmtId="3" fontId="0" fillId="14" borderId="32" xfId="0" applyNumberFormat="1" applyFill="1" applyBorder="1" applyAlignment="1">
      <alignment horizontal="center"/>
    </xf>
    <xf numFmtId="167" fontId="0" fillId="15" borderId="32" xfId="0" applyNumberFormat="1" applyFill="1" applyBorder="1" applyAlignment="1">
      <alignment horizontal="center"/>
    </xf>
    <xf numFmtId="0" fontId="0" fillId="15" borderId="32" xfId="0" applyFill="1" applyBorder="1" applyAlignment="1">
      <alignment horizontal="center"/>
    </xf>
    <xf numFmtId="3" fontId="0" fillId="15" borderId="32" xfId="0" applyNumberFormat="1" applyFill="1" applyBorder="1" applyAlignment="1">
      <alignment horizontal="center"/>
    </xf>
    <xf numFmtId="167" fontId="8" fillId="15" borderId="25" xfId="0" applyNumberFormat="1" applyFont="1" applyFill="1" applyBorder="1" applyAlignment="1">
      <alignment horizontal="center"/>
    </xf>
    <xf numFmtId="3" fontId="8" fillId="15" borderId="25" xfId="0" applyNumberFormat="1" applyFont="1" applyFill="1" applyBorder="1" applyAlignment="1">
      <alignment horizontal="center"/>
    </xf>
    <xf numFmtId="170" fontId="8" fillId="0" borderId="33" xfId="0" applyNumberFormat="1" applyFont="1" applyBorder="1" applyAlignment="1">
      <alignment horizontal="center"/>
    </xf>
    <xf numFmtId="0" fontId="0" fillId="16" borderId="24" xfId="0" applyFill="1" applyBorder="1" applyAlignment="1">
      <alignment horizontal="center"/>
    </xf>
    <xf numFmtId="0" fontId="0" fillId="16" borderId="32" xfId="0" applyFill="1" applyBorder="1" applyAlignment="1">
      <alignment horizontal="center"/>
    </xf>
    <xf numFmtId="167" fontId="8" fillId="0" borderId="25" xfId="0" applyNumberFormat="1" applyFont="1" applyBorder="1" applyAlignment="1">
      <alignment horizontal="center"/>
    </xf>
    <xf numFmtId="167" fontId="43" fillId="15" borderId="33" xfId="0" applyNumberFormat="1" applyFont="1" applyFill="1" applyBorder="1" applyAlignment="1">
      <alignment horizontal="center"/>
    </xf>
    <xf numFmtId="167" fontId="8" fillId="0" borderId="0" xfId="0" applyNumberFormat="1" applyFont="1" applyFill="1" applyBorder="1"/>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Border="1" applyAlignment="1">
      <alignment horizontal="center" vertical="center"/>
    </xf>
    <xf numFmtId="0" fontId="0" fillId="14" borderId="18" xfId="0" applyFill="1" applyBorder="1" applyAlignment="1">
      <alignment horizontal="center"/>
    </xf>
    <xf numFmtId="0" fontId="0" fillId="14" borderId="0" xfId="0" applyFill="1" applyBorder="1" applyAlignment="1">
      <alignment horizontal="center"/>
    </xf>
    <xf numFmtId="0" fontId="0" fillId="15" borderId="0" xfId="0" applyFill="1" applyBorder="1" applyAlignment="1">
      <alignment horizontal="center"/>
    </xf>
    <xf numFmtId="3" fontId="0" fillId="15" borderId="0" xfId="0" applyNumberFormat="1" applyFill="1" applyBorder="1" applyAlignment="1">
      <alignment horizontal="center"/>
    </xf>
    <xf numFmtId="167" fontId="8" fillId="15" borderId="26" xfId="0" applyNumberFormat="1" applyFont="1" applyFill="1" applyBorder="1" applyAlignment="1">
      <alignment horizontal="center"/>
    </xf>
    <xf numFmtId="3" fontId="8" fillId="15" borderId="26" xfId="0" applyNumberFormat="1" applyFont="1" applyFill="1" applyBorder="1" applyAlignment="1">
      <alignment horizontal="center"/>
    </xf>
    <xf numFmtId="170" fontId="8" fillId="0" borderId="16" xfId="0" applyNumberFormat="1" applyFont="1" applyBorder="1" applyAlignment="1">
      <alignment horizontal="center"/>
    </xf>
    <xf numFmtId="0" fontId="0" fillId="16" borderId="18" xfId="0" applyFill="1" applyBorder="1" applyAlignment="1">
      <alignment horizontal="center"/>
    </xf>
    <xf numFmtId="0" fontId="0" fillId="16" borderId="0" xfId="0" applyFill="1" applyBorder="1" applyAlignment="1">
      <alignment horizontal="center"/>
    </xf>
    <xf numFmtId="0" fontId="12" fillId="0" borderId="0" xfId="1" applyFont="1" applyFill="1" applyBorder="1" applyAlignment="1">
      <alignment vertical="center"/>
    </xf>
    <xf numFmtId="0" fontId="12" fillId="0" borderId="34" xfId="35" applyFont="1" applyFill="1" applyBorder="1" applyAlignment="1">
      <alignment horizontal="center" vertical="center"/>
    </xf>
    <xf numFmtId="1" fontId="12" fillId="0" borderId="18" xfId="36" applyNumberFormat="1" applyFont="1" applyFill="1" applyBorder="1"/>
    <xf numFmtId="0" fontId="42" fillId="0" borderId="0" xfId="34" applyFont="1"/>
    <xf numFmtId="0" fontId="45" fillId="0" borderId="0" xfId="0" applyFont="1"/>
    <xf numFmtId="0" fontId="12" fillId="0" borderId="12" xfId="37" applyNumberFormat="1" applyFont="1" applyFill="1" applyBorder="1" applyAlignment="1">
      <alignment vertical="center"/>
    </xf>
    <xf numFmtId="0" fontId="12" fillId="0" borderId="34" xfId="0" applyFont="1" applyFill="1" applyBorder="1" applyAlignment="1">
      <alignment horizontal="right" vertical="center"/>
    </xf>
    <xf numFmtId="0" fontId="0" fillId="0" borderId="18" xfId="0" applyFill="1" applyBorder="1" applyAlignment="1">
      <alignment vertical="center"/>
    </xf>
    <xf numFmtId="0" fontId="6" fillId="18" borderId="0" xfId="38" applyNumberFormat="1" applyFont="1" applyFill="1" applyBorder="1" applyAlignment="1">
      <alignment wrapText="1"/>
    </xf>
    <xf numFmtId="0" fontId="12" fillId="18" borderId="0" xfId="38" applyNumberFormat="1" applyFont="1" applyFill="1" applyBorder="1" applyAlignment="1">
      <alignment horizontal="right" wrapText="1"/>
    </xf>
    <xf numFmtId="0" fontId="12" fillId="15" borderId="0" xfId="0" applyFont="1" applyFill="1" applyBorder="1" applyAlignment="1">
      <alignment horizontal="center"/>
    </xf>
    <xf numFmtId="0" fontId="0" fillId="0" borderId="12" xfId="37" applyNumberFormat="1" applyFont="1" applyFill="1" applyBorder="1" applyAlignment="1">
      <alignment vertical="center"/>
    </xf>
    <xf numFmtId="2" fontId="12" fillId="0" borderId="12" xfId="37" applyNumberFormat="1" applyFill="1" applyBorder="1" applyAlignment="1">
      <alignment horizontal="right" vertical="center"/>
    </xf>
    <xf numFmtId="2" fontId="6" fillId="0" borderId="12" xfId="38" applyNumberFormat="1" applyFont="1" applyFill="1" applyBorder="1" applyAlignment="1">
      <alignment horizontal="right" wrapText="1"/>
    </xf>
    <xf numFmtId="0" fontId="12" fillId="0" borderId="12" xfId="37" applyNumberFormat="1" applyFill="1" applyBorder="1" applyAlignment="1">
      <alignment vertical="center"/>
    </xf>
    <xf numFmtId="0" fontId="12" fillId="0" borderId="12" xfId="37" applyFill="1" applyBorder="1" applyAlignment="1">
      <alignment vertical="center"/>
    </xf>
    <xf numFmtId="0" fontId="12" fillId="0" borderId="12" xfId="37" applyNumberFormat="1" applyFill="1" applyBorder="1" applyAlignment="1">
      <alignment horizontal="right" vertical="center"/>
    </xf>
    <xf numFmtId="0" fontId="12" fillId="18" borderId="19" xfId="37" applyFill="1" applyBorder="1" applyAlignment="1">
      <alignment vertical="center"/>
    </xf>
    <xf numFmtId="0" fontId="12" fillId="18" borderId="0" xfId="37" applyNumberFormat="1" applyFont="1" applyFill="1" applyBorder="1" applyAlignment="1">
      <alignment horizontal="right" vertical="center"/>
    </xf>
    <xf numFmtId="0" fontId="12" fillId="12" borderId="0" xfId="39" applyFill="1"/>
    <xf numFmtId="0" fontId="0" fillId="0" borderId="12" xfId="37" applyNumberFormat="1" applyFont="1" applyFill="1" applyBorder="1" applyAlignment="1">
      <alignment horizontal="right" vertical="center"/>
    </xf>
    <xf numFmtId="0" fontId="12" fillId="18" borderId="19" xfId="37" applyFont="1" applyFill="1" applyBorder="1" applyAlignment="1">
      <alignment vertical="center"/>
    </xf>
    <xf numFmtId="0" fontId="12" fillId="0" borderId="12" xfId="37" applyFont="1" applyFill="1" applyBorder="1" applyAlignment="1">
      <alignment vertical="center"/>
    </xf>
    <xf numFmtId="0" fontId="0" fillId="18" borderId="19" xfId="37" applyFont="1" applyFill="1" applyBorder="1" applyAlignment="1">
      <alignment vertical="center"/>
    </xf>
    <xf numFmtId="0" fontId="0" fillId="0" borderId="12" xfId="37" applyFont="1" applyFill="1" applyBorder="1" applyAlignment="1">
      <alignment vertical="center"/>
    </xf>
    <xf numFmtId="2" fontId="0" fillId="0" borderId="12" xfId="37" applyNumberFormat="1" applyFont="1" applyFill="1" applyBorder="1" applyAlignment="1">
      <alignment horizontal="right" vertical="center"/>
    </xf>
    <xf numFmtId="0" fontId="12" fillId="18" borderId="19" xfId="37" applyNumberFormat="1" applyFill="1" applyBorder="1" applyAlignment="1">
      <alignment vertical="center"/>
    </xf>
    <xf numFmtId="0" fontId="12" fillId="18" borderId="0" xfId="34" applyFont="1" applyFill="1" applyBorder="1"/>
    <xf numFmtId="2" fontId="12" fillId="18" borderId="0" xfId="37" applyNumberFormat="1" applyFont="1" applyFill="1" applyBorder="1" applyAlignment="1">
      <alignment horizontal="right" vertical="center"/>
    </xf>
    <xf numFmtId="0" fontId="0" fillId="0" borderId="12" xfId="0" applyFill="1" applyBorder="1" applyAlignment="1">
      <alignment vertical="center"/>
    </xf>
    <xf numFmtId="0" fontId="0" fillId="0" borderId="0" xfId="0" applyFill="1" applyBorder="1" applyAlignment="1">
      <alignment horizontal="center" vertical="center"/>
    </xf>
    <xf numFmtId="0" fontId="12" fillId="0" borderId="12" xfId="1" applyNumberFormat="1" applyFill="1" applyBorder="1" applyAlignment="1">
      <alignment vertical="center"/>
    </xf>
    <xf numFmtId="2" fontId="12" fillId="0" borderId="12" xfId="1" applyNumberFormat="1" applyFill="1" applyBorder="1" applyAlignment="1">
      <alignment horizontal="center" vertical="center"/>
    </xf>
    <xf numFmtId="0" fontId="6" fillId="0" borderId="12" xfId="38" applyNumberFormat="1" applyFont="1" applyFill="1" applyBorder="1" applyAlignment="1">
      <alignment wrapText="1"/>
    </xf>
    <xf numFmtId="1" fontId="12" fillId="12" borderId="18" xfId="36" applyNumberFormat="1" applyFill="1" applyBorder="1"/>
    <xf numFmtId="0" fontId="12" fillId="20" borderId="18" xfId="1" applyNumberFormat="1" applyFill="1" applyBorder="1"/>
    <xf numFmtId="0" fontId="0" fillId="0" borderId="0" xfId="0" applyBorder="1" applyAlignment="1">
      <alignment horizontal="right" vertical="center"/>
    </xf>
    <xf numFmtId="0" fontId="12" fillId="0" borderId="35" xfId="1" applyFont="1" applyFill="1" applyBorder="1" applyAlignment="1">
      <alignment vertical="center"/>
    </xf>
    <xf numFmtId="0" fontId="12" fillId="0" borderId="34" xfId="1" applyFont="1" applyFill="1" applyBorder="1" applyAlignment="1">
      <alignment horizontal="center" vertical="center"/>
    </xf>
    <xf numFmtId="0" fontId="12" fillId="0" borderId="35" xfId="1" applyFill="1" applyBorder="1" applyAlignment="1">
      <alignment vertical="center"/>
    </xf>
    <xf numFmtId="0" fontId="12" fillId="0" borderId="34" xfId="1" applyBorder="1" applyAlignment="1">
      <alignment horizontal="center" vertical="center"/>
    </xf>
    <xf numFmtId="2" fontId="12" fillId="0" borderId="12" xfId="1" applyNumberFormat="1" applyBorder="1" applyAlignment="1">
      <alignment horizontal="right" vertical="center"/>
    </xf>
    <xf numFmtId="0" fontId="12" fillId="0" borderId="35" xfId="0" applyFont="1" applyFill="1" applyBorder="1" applyAlignment="1">
      <alignment vertical="center"/>
    </xf>
    <xf numFmtId="0" fontId="12" fillId="0" borderId="34" xfId="0" applyFont="1" applyFill="1" applyBorder="1" applyAlignment="1">
      <alignment horizontal="center" vertical="center"/>
    </xf>
    <xf numFmtId="2" fontId="6" fillId="0" borderId="18" xfId="40" applyNumberFormat="1" applyFont="1" applyFill="1" applyBorder="1" applyAlignment="1">
      <alignment wrapText="1"/>
    </xf>
    <xf numFmtId="2" fontId="6" fillId="0" borderId="0" xfId="40" applyNumberFormat="1" applyFont="1" applyFill="1" applyBorder="1" applyAlignment="1">
      <alignment wrapText="1"/>
    </xf>
    <xf numFmtId="0" fontId="6" fillId="0" borderId="0" xfId="40" applyNumberFormat="1" applyFont="1" applyFill="1" applyBorder="1" applyAlignment="1">
      <alignment horizontal="right" wrapText="1"/>
    </xf>
    <xf numFmtId="0" fontId="0" fillId="0" borderId="35" xfId="0" applyFill="1" applyBorder="1" applyAlignment="1">
      <alignment vertical="center"/>
    </xf>
    <xf numFmtId="0" fontId="0" fillId="0" borderId="34" xfId="0" applyFill="1" applyBorder="1" applyAlignment="1">
      <alignment horizontal="right" vertical="center"/>
    </xf>
    <xf numFmtId="0" fontId="0" fillId="14" borderId="27" xfId="0" applyFill="1" applyBorder="1" applyAlignment="1">
      <alignment horizontal="center"/>
    </xf>
    <xf numFmtId="0" fontId="0" fillId="14" borderId="23" xfId="0" applyFill="1" applyBorder="1" applyAlignment="1">
      <alignment horizontal="center"/>
    </xf>
    <xf numFmtId="0" fontId="0" fillId="15" borderId="23" xfId="0" applyFill="1" applyBorder="1" applyAlignment="1">
      <alignment horizontal="center"/>
    </xf>
    <xf numFmtId="3" fontId="0" fillId="15" borderId="23" xfId="0" applyNumberFormat="1" applyFill="1" applyBorder="1" applyAlignment="1">
      <alignment horizontal="center"/>
    </xf>
    <xf numFmtId="167" fontId="8" fillId="15" borderId="17" xfId="0" applyNumberFormat="1" applyFont="1" applyFill="1" applyBorder="1" applyAlignment="1">
      <alignment horizontal="center"/>
    </xf>
    <xf numFmtId="3" fontId="8" fillId="15" borderId="17" xfId="0" applyNumberFormat="1" applyFont="1" applyFill="1" applyBorder="1" applyAlignment="1">
      <alignment horizontal="center"/>
    </xf>
    <xf numFmtId="170" fontId="8" fillId="0" borderId="11" xfId="0" applyNumberFormat="1" applyFont="1" applyBorder="1" applyAlignment="1">
      <alignment horizontal="center"/>
    </xf>
    <xf numFmtId="0" fontId="0" fillId="16" borderId="27" xfId="0" applyFill="1" applyBorder="1" applyAlignment="1">
      <alignment horizontal="center"/>
    </xf>
    <xf numFmtId="0" fontId="0" fillId="16" borderId="23" xfId="0" applyFill="1" applyBorder="1" applyAlignment="1">
      <alignment horizontal="center"/>
    </xf>
    <xf numFmtId="0" fontId="0" fillId="0" borderId="20" xfId="0" applyBorder="1" applyAlignment="1">
      <alignment horizontal="center"/>
    </xf>
    <xf numFmtId="3" fontId="8" fillId="0" borderId="0" xfId="0" applyNumberFormat="1" applyFont="1" applyFill="1" applyBorder="1" applyAlignment="1">
      <alignment horizontal="center"/>
    </xf>
    <xf numFmtId="0" fontId="8" fillId="3" borderId="0" xfId="0" applyFont="1" applyFill="1" applyBorder="1" applyAlignment="1">
      <alignment horizontal="center"/>
    </xf>
    <xf numFmtId="0" fontId="8" fillId="0" borderId="0" xfId="0" applyFont="1" applyFill="1" applyBorder="1" applyAlignment="1">
      <alignment horizontal="center"/>
    </xf>
    <xf numFmtId="167" fontId="8" fillId="0" borderId="0" xfId="0" applyNumberFormat="1" applyFont="1" applyBorder="1" applyAlignment="1">
      <alignment horizontal="center"/>
    </xf>
    <xf numFmtId="0" fontId="43" fillId="0" borderId="27" xfId="0" applyFont="1" applyBorder="1"/>
    <xf numFmtId="0" fontId="43" fillId="0" borderId="23" xfId="0" applyFont="1" applyBorder="1"/>
    <xf numFmtId="0" fontId="43" fillId="3" borderId="23" xfId="0" applyFont="1" applyFill="1" applyBorder="1"/>
    <xf numFmtId="0" fontId="43" fillId="0" borderId="20" xfId="0" applyFont="1" applyBorder="1" applyAlignment="1">
      <alignment horizontal="center"/>
    </xf>
    <xf numFmtId="0" fontId="43" fillId="0" borderId="23" xfId="0" applyFont="1" applyBorder="1" applyAlignment="1">
      <alignment horizontal="center"/>
    </xf>
    <xf numFmtId="3" fontId="43" fillId="0" borderId="20" xfId="0" applyNumberFormat="1" applyFont="1" applyBorder="1" applyAlignment="1">
      <alignment horizontal="center"/>
    </xf>
    <xf numFmtId="167" fontId="44" fillId="15" borderId="23" xfId="0" applyNumberFormat="1" applyFont="1" applyFill="1" applyBorder="1" applyAlignment="1">
      <alignment horizontal="center"/>
    </xf>
    <xf numFmtId="167" fontId="44" fillId="0" borderId="23" xfId="0" applyNumberFormat="1" applyFont="1" applyBorder="1" applyAlignment="1">
      <alignment horizontal="center"/>
    </xf>
    <xf numFmtId="167" fontId="43" fillId="15" borderId="20" xfId="0" applyNumberFormat="1" applyFont="1" applyFill="1" applyBorder="1" applyAlignment="1">
      <alignment horizontal="center"/>
    </xf>
    <xf numFmtId="0" fontId="43" fillId="3" borderId="23" xfId="0" applyFont="1" applyFill="1" applyBorder="1" applyAlignment="1">
      <alignment horizontal="center"/>
    </xf>
    <xf numFmtId="3" fontId="44" fillId="0" borderId="23" xfId="0" applyNumberFormat="1" applyFont="1" applyBorder="1" applyAlignment="1">
      <alignment horizontal="center"/>
    </xf>
    <xf numFmtId="3" fontId="43" fillId="15" borderId="20" xfId="0" applyNumberFormat="1" applyFont="1" applyFill="1" applyBorder="1" applyAlignment="1">
      <alignment horizontal="center"/>
    </xf>
    <xf numFmtId="170" fontId="43" fillId="15" borderId="20" xfId="0" applyNumberFormat="1" applyFont="1" applyFill="1" applyBorder="1" applyAlignment="1">
      <alignment horizontal="center"/>
    </xf>
    <xf numFmtId="0" fontId="43" fillId="15" borderId="23" xfId="0" applyFont="1" applyFill="1" applyBorder="1"/>
    <xf numFmtId="167" fontId="43" fillId="0" borderId="0" xfId="0" applyNumberFormat="1" applyFont="1" applyFill="1" applyBorder="1" applyAlignment="1">
      <alignment horizontal="center"/>
    </xf>
    <xf numFmtId="0" fontId="43" fillId="0" borderId="0" xfId="0" applyFont="1"/>
    <xf numFmtId="167" fontId="0" fillId="0" borderId="0" xfId="0" applyNumberFormat="1" applyAlignment="1">
      <alignment horizontal="center"/>
    </xf>
    <xf numFmtId="170" fontId="0" fillId="0" borderId="0" xfId="0" applyNumberFormat="1" applyAlignment="1">
      <alignment horizontal="center"/>
    </xf>
    <xf numFmtId="0" fontId="0" fillId="0" borderId="0" xfId="0" applyFill="1" applyBorder="1" applyAlignment="1">
      <alignment horizontal="center"/>
    </xf>
    <xf numFmtId="3" fontId="0" fillId="0" borderId="0" xfId="0" applyNumberFormat="1" applyFill="1" applyBorder="1" applyAlignment="1">
      <alignment horizontal="center"/>
    </xf>
    <xf numFmtId="167" fontId="0" fillId="0" borderId="0" xfId="0" applyNumberFormat="1" applyFill="1" applyBorder="1" applyAlignment="1">
      <alignment horizontal="center"/>
    </xf>
    <xf numFmtId="170" fontId="0" fillId="0" borderId="0" xfId="0" applyNumberFormat="1" applyFill="1" applyBorder="1" applyAlignment="1">
      <alignment horizontal="center"/>
    </xf>
    <xf numFmtId="0" fontId="12" fillId="0" borderId="0" xfId="0" applyFont="1" applyFill="1" applyBorder="1" applyAlignment="1">
      <alignment horizontal="center"/>
    </xf>
    <xf numFmtId="3" fontId="12" fillId="0" borderId="0" xfId="0" applyNumberFormat="1" applyFont="1" applyFill="1" applyBorder="1" applyAlignment="1">
      <alignment horizontal="center"/>
    </xf>
    <xf numFmtId="167" fontId="12" fillId="0" borderId="0" xfId="0" applyNumberFormat="1" applyFont="1" applyFill="1" applyBorder="1" applyAlignment="1">
      <alignment horizontal="center"/>
    </xf>
    <xf numFmtId="0" fontId="8" fillId="0" borderId="0" xfId="0" applyFont="1" applyFill="1" applyBorder="1"/>
    <xf numFmtId="3" fontId="8" fillId="0" borderId="0" xfId="1" applyNumberFormat="1" applyFont="1"/>
    <xf numFmtId="0" fontId="2" fillId="0" borderId="0" xfId="0" applyFont="1" applyFill="1"/>
    <xf numFmtId="0" fontId="0" fillId="0" borderId="0" xfId="0" applyAlignment="1">
      <alignment wrapText="1"/>
    </xf>
    <xf numFmtId="0" fontId="0" fillId="0" borderId="0" xfId="0" applyBorder="1" applyAlignment="1"/>
    <xf numFmtId="0" fontId="0" fillId="0" borderId="0" xfId="0" applyFill="1" applyBorder="1" applyAlignment="1"/>
    <xf numFmtId="0" fontId="48" fillId="0" borderId="1" xfId="41" applyBorder="1"/>
    <xf numFmtId="0" fontId="48" fillId="0" borderId="0" xfId="41"/>
    <xf numFmtId="0" fontId="48" fillId="0" borderId="0" xfId="41" applyBorder="1"/>
    <xf numFmtId="3" fontId="48" fillId="0" borderId="4" xfId="41" applyNumberFormat="1" applyBorder="1"/>
    <xf numFmtId="0" fontId="8" fillId="0" borderId="3" xfId="41" applyFont="1" applyBorder="1" applyAlignment="1">
      <alignment horizontal="right"/>
    </xf>
    <xf numFmtId="3" fontId="48" fillId="23" borderId="4" xfId="41" applyNumberFormat="1" applyFill="1" applyBorder="1"/>
    <xf numFmtId="0" fontId="8" fillId="0" borderId="0" xfId="41" applyFont="1" applyFill="1" applyBorder="1" applyAlignment="1">
      <alignment horizontal="left"/>
    </xf>
    <xf numFmtId="0" fontId="8" fillId="0" borderId="0" xfId="41" applyFont="1" applyBorder="1" applyAlignment="1">
      <alignment horizontal="right"/>
    </xf>
    <xf numFmtId="0" fontId="8" fillId="0" borderId="3" xfId="41" applyFont="1" applyBorder="1"/>
    <xf numFmtId="0" fontId="48" fillId="0" borderId="20" xfId="41" applyBorder="1"/>
    <xf numFmtId="0" fontId="48" fillId="0" borderId="0" xfId="41" applyFill="1" applyBorder="1"/>
    <xf numFmtId="3" fontId="48" fillId="0" borderId="0" xfId="41" applyNumberFormat="1"/>
    <xf numFmtId="0" fontId="48" fillId="23" borderId="0" xfId="41" applyFill="1"/>
    <xf numFmtId="0" fontId="4" fillId="0" borderId="30" xfId="41" applyFont="1" applyFill="1" applyBorder="1" applyAlignment="1"/>
    <xf numFmtId="0" fontId="4" fillId="0" borderId="2" xfId="41" applyFont="1" applyFill="1" applyBorder="1" applyAlignment="1"/>
    <xf numFmtId="0" fontId="8" fillId="0" borderId="0" xfId="41" applyFont="1" applyBorder="1"/>
    <xf numFmtId="0" fontId="9" fillId="25" borderId="30" xfId="41" applyFont="1" applyFill="1" applyBorder="1" applyAlignment="1">
      <alignment horizontal="center" vertical="center" wrapText="1"/>
    </xf>
    <xf numFmtId="0" fontId="9" fillId="0" borderId="0" xfId="41" applyFont="1"/>
    <xf numFmtId="0" fontId="12" fillId="0" borderId="0" xfId="23"/>
    <xf numFmtId="0" fontId="12" fillId="23" borderId="0" xfId="1" applyFont="1" applyFill="1" applyBorder="1" applyAlignment="1">
      <alignment horizontal="left"/>
    </xf>
    <xf numFmtId="0" fontId="12" fillId="23" borderId="0" xfId="1" applyFont="1" applyFill="1" applyBorder="1" applyAlignment="1">
      <alignment horizontal="left" vertical="center"/>
    </xf>
    <xf numFmtId="0" fontId="12" fillId="0" borderId="0" xfId="23" applyBorder="1"/>
    <xf numFmtId="0" fontId="12" fillId="0" borderId="0" xfId="37" applyNumberFormat="1" applyFill="1" applyBorder="1" applyAlignment="1">
      <alignment vertical="center"/>
    </xf>
    <xf numFmtId="2" fontId="12" fillId="0" borderId="0" xfId="37" applyNumberFormat="1" applyFill="1" applyBorder="1" applyAlignment="1">
      <alignment horizontal="right" vertical="center"/>
    </xf>
    <xf numFmtId="0" fontId="12" fillId="0" borderId="0" xfId="37" applyFill="1" applyBorder="1" applyAlignment="1">
      <alignment vertical="center"/>
    </xf>
    <xf numFmtId="0" fontId="12" fillId="0" borderId="0" xfId="37" applyNumberFormat="1" applyFill="1" applyBorder="1" applyAlignment="1">
      <alignment horizontal="right" vertical="center"/>
    </xf>
    <xf numFmtId="0" fontId="12" fillId="0" borderId="0" xfId="37" applyFont="1" applyFill="1" applyBorder="1" applyAlignment="1">
      <alignment vertical="center"/>
    </xf>
    <xf numFmtId="0" fontId="0" fillId="0" borderId="0" xfId="37" applyFont="1" applyFill="1" applyBorder="1" applyAlignment="1">
      <alignment vertical="center"/>
    </xf>
    <xf numFmtId="0" fontId="36" fillId="0" borderId="0" xfId="24" applyFill="1" applyBorder="1" applyAlignment="1">
      <alignment vertical="center"/>
    </xf>
    <xf numFmtId="0" fontId="36" fillId="0" borderId="0" xfId="24" applyFill="1" applyBorder="1" applyAlignment="1">
      <alignment horizontal="center" vertical="center"/>
    </xf>
    <xf numFmtId="0" fontId="12" fillId="0" borderId="0" xfId="1" applyNumberFormat="1" applyFill="1" applyBorder="1" applyAlignment="1">
      <alignment vertical="center"/>
    </xf>
    <xf numFmtId="2" fontId="12" fillId="0" borderId="0" xfId="1" applyNumberFormat="1" applyFill="1" applyBorder="1" applyAlignment="1">
      <alignment horizontal="center" vertical="center"/>
    </xf>
    <xf numFmtId="2" fontId="12" fillId="28" borderId="0" xfId="42" applyNumberFormat="1" applyFont="1" applyFill="1" applyBorder="1" applyAlignment="1">
      <alignment horizontal="left" wrapText="1"/>
    </xf>
    <xf numFmtId="0" fontId="12" fillId="23" borderId="0" xfId="42" applyNumberFormat="1" applyFont="1" applyFill="1" applyBorder="1" applyAlignment="1">
      <alignment horizontal="left" wrapText="1"/>
    </xf>
    <xf numFmtId="0" fontId="12" fillId="0" borderId="0" xfId="24" applyFont="1" applyFill="1" applyBorder="1" applyAlignment="1">
      <alignment vertical="center"/>
    </xf>
    <xf numFmtId="0" fontId="12" fillId="0" borderId="0" xfId="24" applyFont="1" applyFill="1" applyBorder="1" applyAlignment="1">
      <alignment horizontal="center" vertical="center"/>
    </xf>
    <xf numFmtId="2" fontId="12" fillId="23" borderId="0" xfId="42" applyNumberFormat="1" applyFont="1" applyFill="1" applyBorder="1" applyAlignment="1">
      <alignment horizontal="left" wrapText="1"/>
    </xf>
    <xf numFmtId="0" fontId="36" fillId="0" borderId="0" xfId="24" applyFill="1" applyBorder="1" applyAlignment="1">
      <alignment horizontal="right" vertical="center"/>
    </xf>
    <xf numFmtId="0" fontId="12" fillId="0" borderId="0" xfId="41" applyFont="1"/>
    <xf numFmtId="4" fontId="48" fillId="0" borderId="0" xfId="41" applyNumberFormat="1"/>
    <xf numFmtId="8" fontId="48" fillId="0" borderId="0" xfId="41" applyNumberFormat="1"/>
    <xf numFmtId="173" fontId="48" fillId="0" borderId="0" xfId="41" applyNumberFormat="1"/>
    <xf numFmtId="3" fontId="40" fillId="11" borderId="29" xfId="0" applyNumberFormat="1" applyFont="1" applyFill="1" applyBorder="1"/>
    <xf numFmtId="3" fontId="0" fillId="25" borderId="0" xfId="0" applyNumberFormat="1" applyFont="1" applyFill="1"/>
    <xf numFmtId="3" fontId="41" fillId="25" borderId="0" xfId="0" applyNumberFormat="1" applyFont="1" applyFill="1" applyAlignment="1">
      <alignment horizontal="center" vertical="top" wrapText="1"/>
    </xf>
    <xf numFmtId="3" fontId="0" fillId="25" borderId="0" xfId="0" applyNumberFormat="1" applyFont="1" applyFill="1" applyAlignment="1">
      <alignment horizontal="center"/>
    </xf>
    <xf numFmtId="3" fontId="0" fillId="25" borderId="29" xfId="0" applyNumberFormat="1" applyFont="1" applyFill="1" applyBorder="1"/>
    <xf numFmtId="3" fontId="40" fillId="25" borderId="29" xfId="0" applyNumberFormat="1" applyFont="1" applyFill="1" applyBorder="1"/>
    <xf numFmtId="3" fontId="2" fillId="25" borderId="29" xfId="0" applyNumberFormat="1" applyFont="1" applyFill="1" applyBorder="1"/>
    <xf numFmtId="0" fontId="0" fillId="29" borderId="0" xfId="0" applyFont="1" applyFill="1"/>
    <xf numFmtId="3" fontId="0" fillId="29" borderId="0" xfId="0" applyNumberFormat="1" applyFont="1" applyFill="1"/>
    <xf numFmtId="3" fontId="41" fillId="29" borderId="0" xfId="0" applyNumberFormat="1" applyFont="1" applyFill="1" applyAlignment="1">
      <alignment horizontal="center" vertical="top" wrapText="1"/>
    </xf>
    <xf numFmtId="3" fontId="0" fillId="29" borderId="29" xfId="0" applyNumberFormat="1" applyFont="1" applyFill="1" applyBorder="1"/>
    <xf numFmtId="3" fontId="40" fillId="29" borderId="29" xfId="0" applyNumberFormat="1" applyFont="1" applyFill="1" applyBorder="1"/>
    <xf numFmtId="3" fontId="2" fillId="29" borderId="29" xfId="0" applyNumberFormat="1" applyFont="1" applyFill="1" applyBorder="1"/>
    <xf numFmtId="3" fontId="0" fillId="29" borderId="0" xfId="0" applyNumberFormat="1" applyFont="1" applyFill="1" applyAlignment="1">
      <alignment horizontal="center"/>
    </xf>
    <xf numFmtId="164" fontId="4" fillId="0" borderId="64" xfId="41" applyNumberFormat="1" applyFont="1" applyBorder="1" applyAlignment="1">
      <alignment horizontal="center" vertical="center"/>
    </xf>
    <xf numFmtId="0" fontId="12" fillId="0" borderId="0" xfId="1" applyFont="1"/>
    <xf numFmtId="0" fontId="12" fillId="0" borderId="0" xfId="1" applyNumberFormat="1" applyFont="1" applyFill="1" applyAlignment="1">
      <alignment horizontal="center"/>
    </xf>
    <xf numFmtId="0" fontId="12" fillId="0" borderId="0" xfId="1" applyAlignment="1"/>
    <xf numFmtId="0" fontId="30" fillId="0" borderId="0" xfId="0" applyFont="1" applyFill="1" applyAlignment="1">
      <alignment horizontal="center"/>
    </xf>
    <xf numFmtId="0" fontId="48" fillId="0" borderId="0" xfId="41" applyAlignment="1">
      <alignment horizontal="left"/>
    </xf>
    <xf numFmtId="2" fontId="12" fillId="0" borderId="0" xfId="37" applyNumberFormat="1" applyFill="1" applyBorder="1" applyAlignment="1">
      <alignment horizontal="left" vertical="center"/>
    </xf>
    <xf numFmtId="0" fontId="12" fillId="0" borderId="0" xfId="37" applyNumberFormat="1" applyFill="1" applyBorder="1" applyAlignment="1">
      <alignment horizontal="left" vertical="center"/>
    </xf>
    <xf numFmtId="0" fontId="36" fillId="0" borderId="0" xfId="24" applyFill="1" applyBorder="1" applyAlignment="1">
      <alignment horizontal="left" vertical="center"/>
    </xf>
    <xf numFmtId="2" fontId="12" fillId="0" borderId="0" xfId="1" applyNumberFormat="1" applyFill="1" applyBorder="1" applyAlignment="1">
      <alignment horizontal="left" vertical="center"/>
    </xf>
    <xf numFmtId="0" fontId="12" fillId="0" borderId="0" xfId="24" applyFont="1" applyFill="1" applyBorder="1" applyAlignment="1">
      <alignment horizontal="left" vertical="center"/>
    </xf>
    <xf numFmtId="0" fontId="0" fillId="0" borderId="0" xfId="0" applyFill="1" applyBorder="1" applyAlignment="1">
      <alignment vertical="center"/>
    </xf>
    <xf numFmtId="0" fontId="12" fillId="0" borderId="0" xfId="0" applyFont="1" applyFill="1" applyBorder="1" applyAlignment="1">
      <alignment horizontal="right" vertical="center"/>
    </xf>
    <xf numFmtId="0" fontId="12" fillId="0" borderId="0" xfId="35" applyFont="1" applyFill="1" applyBorder="1" applyAlignment="1">
      <alignment horizontal="center" vertical="center"/>
    </xf>
    <xf numFmtId="2" fontId="6" fillId="0" borderId="0" xfId="38" applyNumberFormat="1" applyFont="1" applyFill="1" applyBorder="1" applyAlignment="1">
      <alignment horizontal="right" wrapText="1"/>
    </xf>
    <xf numFmtId="0" fontId="12" fillId="0" borderId="0" xfId="1" applyFont="1" applyFill="1" applyBorder="1"/>
    <xf numFmtId="0" fontId="12" fillId="0" borderId="0" xfId="38" applyNumberFormat="1" applyFont="1" applyFill="1" applyBorder="1" applyAlignment="1">
      <alignment horizontal="right" wrapText="1"/>
    </xf>
    <xf numFmtId="0" fontId="12" fillId="0" borderId="0" xfId="37" applyNumberFormat="1" applyFont="1" applyFill="1" applyBorder="1" applyAlignment="1">
      <alignment horizontal="right" vertical="center"/>
    </xf>
    <xf numFmtId="0" fontId="6" fillId="0" borderId="0" xfId="38" applyNumberFormat="1" applyFont="1" applyFill="1" applyBorder="1" applyAlignment="1">
      <alignment wrapText="1"/>
    </xf>
    <xf numFmtId="167" fontId="12" fillId="0" borderId="0" xfId="1" applyNumberFormat="1" applyFill="1" applyBorder="1" applyAlignment="1">
      <alignment horizontal="center"/>
    </xf>
    <xf numFmtId="0" fontId="45" fillId="0" borderId="0" xfId="0" applyFont="1" applyFill="1" applyBorder="1"/>
    <xf numFmtId="0" fontId="42" fillId="0" borderId="0" xfId="34" applyFont="1" applyFill="1" applyBorder="1"/>
    <xf numFmtId="3" fontId="12" fillId="0" borderId="18" xfId="0" applyNumberFormat="1" applyFont="1" applyFill="1" applyBorder="1"/>
    <xf numFmtId="0" fontId="0" fillId="0" borderId="0" xfId="37" applyNumberFormat="1" applyFont="1" applyFill="1" applyBorder="1" applyAlignment="1">
      <alignment vertical="center"/>
    </xf>
    <xf numFmtId="1" fontId="12" fillId="0" borderId="0" xfId="36" applyNumberFormat="1" applyFont="1" applyFill="1" applyBorder="1"/>
    <xf numFmtId="0" fontId="12" fillId="0" borderId="0" xfId="37" applyNumberFormat="1" applyFont="1" applyFill="1" applyBorder="1" applyAlignment="1">
      <alignment vertical="center"/>
    </xf>
    <xf numFmtId="0" fontId="48" fillId="23" borderId="4" xfId="41" applyFill="1" applyBorder="1" applyAlignment="1">
      <alignment horizontal="center"/>
    </xf>
    <xf numFmtId="167" fontId="12" fillId="0" borderId="0" xfId="1" applyNumberFormat="1"/>
    <xf numFmtId="0" fontId="8" fillId="15" borderId="25" xfId="1" applyFont="1" applyFill="1" applyBorder="1"/>
    <xf numFmtId="167" fontId="8" fillId="0" borderId="0" xfId="1" applyNumberFormat="1" applyFont="1"/>
    <xf numFmtId="0" fontId="12" fillId="15" borderId="17" xfId="1" applyFill="1" applyBorder="1"/>
    <xf numFmtId="0" fontId="8" fillId="15" borderId="25" xfId="1" applyFont="1" applyFill="1" applyBorder="1" applyAlignment="1">
      <alignment horizontal="center" vertical="center" wrapText="1"/>
    </xf>
    <xf numFmtId="167" fontId="8" fillId="0" borderId="0" xfId="1" applyNumberFormat="1" applyFont="1" applyBorder="1" applyAlignment="1">
      <alignment horizontal="center" vertical="center" wrapText="1"/>
    </xf>
    <xf numFmtId="167" fontId="12" fillId="0" borderId="0" xfId="1" applyNumberFormat="1" applyAlignment="1">
      <alignment wrapText="1"/>
    </xf>
    <xf numFmtId="0" fontId="12" fillId="15" borderId="26" xfId="1" applyFill="1" applyBorder="1"/>
    <xf numFmtId="174" fontId="12" fillId="0" borderId="0" xfId="1" applyNumberFormat="1"/>
    <xf numFmtId="167" fontId="12" fillId="5" borderId="0" xfId="1" applyNumberFormat="1" applyFill="1"/>
    <xf numFmtId="3" fontId="12" fillId="0" borderId="0" xfId="1" applyNumberFormat="1"/>
    <xf numFmtId="0" fontId="43" fillId="15" borderId="26" xfId="1" applyFont="1" applyFill="1" applyBorder="1"/>
    <xf numFmtId="167" fontId="43" fillId="15" borderId="19" xfId="1" applyNumberFormat="1" applyFont="1" applyFill="1" applyBorder="1" applyAlignment="1">
      <alignment horizontal="center"/>
    </xf>
    <xf numFmtId="167" fontId="43" fillId="0" borderId="0" xfId="1" applyNumberFormat="1" applyFont="1" applyFill="1" applyBorder="1" applyAlignment="1">
      <alignment horizontal="center"/>
    </xf>
    <xf numFmtId="167" fontId="8" fillId="5" borderId="0" xfId="1" applyNumberFormat="1" applyFont="1" applyFill="1"/>
    <xf numFmtId="167" fontId="43" fillId="0" borderId="0" xfId="1" applyNumberFormat="1" applyFont="1"/>
    <xf numFmtId="0" fontId="43" fillId="18" borderId="18" xfId="1" applyFont="1" applyFill="1" applyBorder="1"/>
    <xf numFmtId="0" fontId="43" fillId="18" borderId="0" xfId="1" applyFont="1" applyFill="1" applyBorder="1"/>
    <xf numFmtId="0" fontId="43" fillId="18" borderId="0" xfId="1" applyFont="1" applyFill="1" applyBorder="1" applyAlignment="1">
      <alignment horizontal="center"/>
    </xf>
    <xf numFmtId="171" fontId="44" fillId="18" borderId="0" xfId="12" applyNumberFormat="1" applyFont="1" applyFill="1" applyBorder="1" applyAlignment="1">
      <alignment horizontal="center"/>
    </xf>
    <xf numFmtId="0" fontId="8" fillId="3" borderId="0" xfId="1" applyFont="1" applyFill="1" applyBorder="1" applyAlignment="1">
      <alignment horizontal="center" vertical="center" wrapText="1"/>
    </xf>
    <xf numFmtId="0" fontId="8" fillId="15" borderId="26" xfId="1" applyFont="1" applyFill="1" applyBorder="1" applyAlignment="1">
      <alignment horizontal="center" vertical="center" wrapText="1"/>
    </xf>
    <xf numFmtId="167" fontId="8" fillId="15" borderId="19" xfId="1" applyNumberFormat="1" applyFont="1" applyFill="1" applyBorder="1" applyAlignment="1">
      <alignment horizontal="center" vertical="center" wrapText="1"/>
    </xf>
    <xf numFmtId="167" fontId="12" fillId="0" borderId="20" xfId="1" applyNumberFormat="1" applyBorder="1" applyAlignment="1">
      <alignment horizontal="center"/>
    </xf>
    <xf numFmtId="0" fontId="12" fillId="0" borderId="16" xfId="1" applyBorder="1"/>
    <xf numFmtId="0" fontId="12" fillId="0" borderId="24" xfId="1" applyBorder="1" applyAlignment="1">
      <alignment horizontal="center"/>
    </xf>
    <xf numFmtId="0" fontId="12" fillId="0" borderId="32" xfId="1" applyBorder="1" applyAlignment="1">
      <alignment horizontal="center"/>
    </xf>
    <xf numFmtId="167" fontId="12" fillId="15" borderId="0" xfId="1" applyNumberFormat="1" applyFill="1" applyBorder="1" applyAlignment="1">
      <alignment horizontal="center"/>
    </xf>
    <xf numFmtId="3" fontId="12" fillId="15" borderId="32" xfId="1" applyNumberFormat="1" applyFill="1" applyBorder="1" applyAlignment="1">
      <alignment horizontal="center"/>
    </xf>
    <xf numFmtId="170" fontId="8" fillId="0" borderId="33" xfId="1" applyNumberFormat="1" applyFont="1" applyBorder="1" applyAlignment="1">
      <alignment horizontal="center"/>
    </xf>
    <xf numFmtId="0" fontId="12" fillId="16" borderId="24" xfId="1" applyFill="1" applyBorder="1" applyAlignment="1">
      <alignment horizontal="center"/>
    </xf>
    <xf numFmtId="0" fontId="12" fillId="16" borderId="32" xfId="1" applyFill="1" applyBorder="1" applyAlignment="1">
      <alignment horizontal="center"/>
    </xf>
    <xf numFmtId="167" fontId="8" fillId="0" borderId="25" xfId="1" applyNumberFormat="1" applyFont="1" applyBorder="1" applyAlignment="1">
      <alignment horizontal="center"/>
    </xf>
    <xf numFmtId="167" fontId="12" fillId="15" borderId="33" xfId="12" applyNumberFormat="1" applyFont="1" applyFill="1" applyBorder="1"/>
    <xf numFmtId="167" fontId="8" fillId="15" borderId="33" xfId="12" applyNumberFormat="1" applyFont="1" applyFill="1" applyBorder="1"/>
    <xf numFmtId="167" fontId="12" fillId="15" borderId="33" xfId="1" applyNumberFormat="1" applyFill="1" applyBorder="1"/>
    <xf numFmtId="167" fontId="8" fillId="15" borderId="33" xfId="1" applyNumberFormat="1" applyFont="1" applyFill="1" applyBorder="1"/>
    <xf numFmtId="2" fontId="12" fillId="0" borderId="0" xfId="1" applyNumberFormat="1"/>
    <xf numFmtId="0" fontId="12" fillId="0" borderId="0" xfId="1" applyFont="1" applyFill="1" applyBorder="1" applyAlignment="1">
      <alignment horizontal="center" vertical="center"/>
    </xf>
    <xf numFmtId="0" fontId="12" fillId="0" borderId="18" xfId="1" applyBorder="1" applyAlignment="1">
      <alignment horizontal="center"/>
    </xf>
    <xf numFmtId="3" fontId="12" fillId="15" borderId="0" xfId="1" applyNumberFormat="1" applyFill="1" applyBorder="1" applyAlignment="1">
      <alignment horizontal="center"/>
    </xf>
    <xf numFmtId="170" fontId="8" fillId="0" borderId="16" xfId="1" applyNumberFormat="1" applyFont="1" applyBorder="1" applyAlignment="1">
      <alignment horizontal="center"/>
    </xf>
    <xf numFmtId="0" fontId="12" fillId="16" borderId="18" xfId="1" applyFill="1" applyBorder="1" applyAlignment="1">
      <alignment horizontal="center"/>
    </xf>
    <xf numFmtId="0" fontId="12" fillId="16" borderId="0" xfId="1" applyFill="1" applyBorder="1" applyAlignment="1">
      <alignment horizontal="center"/>
    </xf>
    <xf numFmtId="167" fontId="8" fillId="0" borderId="26" xfId="1" applyNumberFormat="1" applyFont="1" applyBorder="1" applyAlignment="1">
      <alignment horizontal="center"/>
    </xf>
    <xf numFmtId="167" fontId="12" fillId="15" borderId="16" xfId="1" applyNumberFormat="1" applyFill="1" applyBorder="1"/>
    <xf numFmtId="167" fontId="8" fillId="15" borderId="16" xfId="1" applyNumberFormat="1" applyFont="1" applyFill="1" applyBorder="1"/>
    <xf numFmtId="0" fontId="12" fillId="0" borderId="34" xfId="23" applyFont="1" applyFill="1" applyBorder="1" applyAlignment="1">
      <alignment horizontal="center" vertical="center"/>
    </xf>
    <xf numFmtId="0" fontId="45" fillId="0" borderId="0" xfId="1" applyFont="1"/>
    <xf numFmtId="0" fontId="12" fillId="0" borderId="34" xfId="1" applyFont="1" applyFill="1" applyBorder="1" applyAlignment="1">
      <alignment horizontal="right" vertical="center"/>
    </xf>
    <xf numFmtId="0" fontId="12" fillId="0" borderId="18" xfId="1" applyFill="1" applyBorder="1" applyAlignment="1">
      <alignment vertical="center"/>
    </xf>
    <xf numFmtId="0" fontId="12" fillId="0" borderId="0" xfId="1" applyFill="1" applyBorder="1" applyAlignment="1">
      <alignment horizontal="right" vertical="center"/>
    </xf>
    <xf numFmtId="2" fontId="6" fillId="0" borderId="12" xfId="42" applyNumberFormat="1" applyFont="1" applyFill="1" applyBorder="1" applyAlignment="1">
      <alignment horizontal="right" wrapText="1"/>
    </xf>
    <xf numFmtId="0" fontId="12" fillId="0" borderId="12" xfId="1" applyFill="1" applyBorder="1" applyAlignment="1">
      <alignment vertical="center"/>
    </xf>
    <xf numFmtId="0" fontId="12" fillId="0" borderId="0" xfId="1" applyFill="1" applyBorder="1" applyAlignment="1">
      <alignment horizontal="center" vertical="center"/>
    </xf>
    <xf numFmtId="0" fontId="6" fillId="0" borderId="12" xfId="42" applyNumberFormat="1" applyFont="1" applyFill="1" applyBorder="1" applyAlignment="1">
      <alignment wrapText="1"/>
    </xf>
    <xf numFmtId="0" fontId="12" fillId="0" borderId="0" xfId="1" applyBorder="1" applyAlignment="1">
      <alignment horizontal="right" vertical="center"/>
    </xf>
    <xf numFmtId="0" fontId="12" fillId="0" borderId="34" xfId="1" applyFill="1" applyBorder="1" applyAlignment="1">
      <alignment horizontal="right" vertical="center"/>
    </xf>
    <xf numFmtId="0" fontId="12" fillId="0" borderId="27" xfId="1" applyBorder="1" applyAlignment="1">
      <alignment horizontal="center"/>
    </xf>
    <xf numFmtId="3" fontId="12" fillId="15" borderId="23" xfId="1" applyNumberFormat="1" applyFill="1" applyBorder="1" applyAlignment="1">
      <alignment horizontal="center"/>
    </xf>
    <xf numFmtId="170" fontId="8" fillId="0" borderId="11" xfId="1" applyNumberFormat="1" applyFont="1" applyBorder="1" applyAlignment="1">
      <alignment horizontal="center"/>
    </xf>
    <xf numFmtId="0" fontId="12" fillId="16" borderId="27" xfId="1" applyFill="1" applyBorder="1" applyAlignment="1">
      <alignment horizontal="center"/>
    </xf>
    <xf numFmtId="0" fontId="12" fillId="16" borderId="23" xfId="1" applyFill="1" applyBorder="1" applyAlignment="1">
      <alignment horizontal="center"/>
    </xf>
    <xf numFmtId="167" fontId="8" fillId="0" borderId="17" xfId="1" applyNumberFormat="1" applyFont="1" applyBorder="1" applyAlignment="1">
      <alignment horizontal="center"/>
    </xf>
    <xf numFmtId="167" fontId="12" fillId="15" borderId="11" xfId="1" applyNumberFormat="1" applyFill="1" applyBorder="1"/>
    <xf numFmtId="167" fontId="8" fillId="15" borderId="11" xfId="1" applyNumberFormat="1" applyFont="1" applyFill="1" applyBorder="1"/>
    <xf numFmtId="3" fontId="8" fillId="0" borderId="0" xfId="1" applyNumberFormat="1" applyFont="1" applyFill="1" applyBorder="1" applyAlignment="1">
      <alignment horizontal="center"/>
    </xf>
    <xf numFmtId="0" fontId="8" fillId="3" borderId="0" xfId="1" applyFont="1" applyFill="1" applyBorder="1" applyAlignment="1">
      <alignment horizontal="center"/>
    </xf>
    <xf numFmtId="0" fontId="8" fillId="0" borderId="0" xfId="1" applyFont="1" applyFill="1" applyBorder="1" applyAlignment="1">
      <alignment horizontal="center"/>
    </xf>
    <xf numFmtId="167" fontId="8" fillId="0" borderId="0" xfId="1" applyNumberFormat="1" applyFont="1" applyBorder="1" applyAlignment="1">
      <alignment horizontal="center"/>
    </xf>
    <xf numFmtId="0" fontId="43" fillId="0" borderId="27" xfId="1" applyFont="1" applyBorder="1"/>
    <xf numFmtId="0" fontId="43" fillId="0" borderId="23" xfId="1" applyFont="1" applyBorder="1"/>
    <xf numFmtId="0" fontId="43" fillId="3" borderId="23" xfId="1" applyFont="1" applyFill="1" applyBorder="1"/>
    <xf numFmtId="0" fontId="43" fillId="0" borderId="23" xfId="1" applyFont="1" applyBorder="1" applyAlignment="1">
      <alignment horizontal="center"/>
    </xf>
    <xf numFmtId="167" fontId="44" fillId="15" borderId="23" xfId="1" applyNumberFormat="1" applyFont="1" applyFill="1" applyBorder="1" applyAlignment="1">
      <alignment horizontal="center"/>
    </xf>
    <xf numFmtId="167" fontId="44" fillId="0" borderId="23" xfId="1" applyNumberFormat="1" applyFont="1" applyBorder="1" applyAlignment="1">
      <alignment horizontal="center"/>
    </xf>
    <xf numFmtId="0" fontId="43" fillId="3" borderId="23" xfId="1" applyFont="1" applyFill="1" applyBorder="1" applyAlignment="1">
      <alignment horizontal="center"/>
    </xf>
    <xf numFmtId="3" fontId="44" fillId="0" borderId="23" xfId="1" applyNumberFormat="1" applyFont="1" applyBorder="1" applyAlignment="1">
      <alignment horizontal="center"/>
    </xf>
    <xf numFmtId="170" fontId="43" fillId="15" borderId="20" xfId="1" applyNumberFormat="1" applyFont="1" applyFill="1" applyBorder="1" applyAlignment="1">
      <alignment horizontal="center"/>
    </xf>
    <xf numFmtId="0" fontId="43" fillId="15" borderId="17" xfId="1" applyFont="1" applyFill="1" applyBorder="1"/>
    <xf numFmtId="0" fontId="12" fillId="18" borderId="0" xfId="1" applyFill="1" applyBorder="1"/>
    <xf numFmtId="0" fontId="12" fillId="18" borderId="0" xfId="1" applyFill="1"/>
    <xf numFmtId="0" fontId="12" fillId="18" borderId="0" xfId="1" applyFill="1" applyAlignment="1">
      <alignment horizontal="center"/>
    </xf>
    <xf numFmtId="167" fontId="12" fillId="18" borderId="0" xfId="1" applyNumberFormat="1" applyFill="1" applyAlignment="1">
      <alignment horizontal="center"/>
    </xf>
    <xf numFmtId="167" fontId="12" fillId="0" borderId="0" xfId="1" applyNumberFormat="1" applyBorder="1"/>
    <xf numFmtId="0" fontId="12" fillId="11" borderId="0" xfId="1" applyFont="1" applyFill="1" applyBorder="1"/>
    <xf numFmtId="0" fontId="12" fillId="11" borderId="0" xfId="1" applyFont="1" applyFill="1"/>
    <xf numFmtId="0" fontId="12" fillId="11" borderId="0" xfId="1" applyFont="1" applyFill="1" applyAlignment="1">
      <alignment horizontal="center"/>
    </xf>
    <xf numFmtId="167" fontId="12" fillId="11" borderId="0" xfId="1" applyNumberFormat="1" applyFont="1" applyFill="1" applyAlignment="1">
      <alignment horizontal="center"/>
    </xf>
    <xf numFmtId="167" fontId="8" fillId="0" borderId="69" xfId="1" applyNumberFormat="1" applyFont="1" applyBorder="1" applyAlignment="1">
      <alignment horizontal="center"/>
    </xf>
    <xf numFmtId="0" fontId="7" fillId="0" borderId="12" xfId="1" applyFont="1" applyBorder="1" applyAlignment="1" applyProtection="1">
      <alignment horizontal="left"/>
    </xf>
    <xf numFmtId="0" fontId="10" fillId="0" borderId="12" xfId="1" applyFont="1" applyBorder="1" applyAlignment="1" applyProtection="1">
      <alignment horizontal="center"/>
    </xf>
    <xf numFmtId="0" fontId="7" fillId="2" borderId="12" xfId="1" applyFont="1" applyFill="1" applyBorder="1" applyAlignment="1" applyProtection="1">
      <alignment horizontal="left"/>
    </xf>
    <xf numFmtId="0" fontId="10" fillId="2" borderId="12" xfId="1" applyFont="1" applyFill="1" applyBorder="1" applyAlignment="1" applyProtection="1">
      <alignment horizontal="center"/>
    </xf>
    <xf numFmtId="0" fontId="7" fillId="0" borderId="12" xfId="1" applyFont="1" applyFill="1" applyBorder="1" applyAlignment="1" applyProtection="1">
      <alignment horizontal="left"/>
    </xf>
    <xf numFmtId="0" fontId="10" fillId="0" borderId="12" xfId="1" applyFont="1" applyFill="1" applyBorder="1" applyAlignment="1" applyProtection="1">
      <alignment horizontal="center"/>
    </xf>
    <xf numFmtId="0" fontId="12" fillId="0" borderId="0" xfId="1" applyFont="1" applyFill="1" applyBorder="1" applyAlignment="1">
      <alignment horizontal="center"/>
    </xf>
    <xf numFmtId="0" fontId="30" fillId="0" borderId="0" xfId="0" applyNumberFormat="1" applyFont="1" applyFill="1"/>
    <xf numFmtId="0" fontId="12" fillId="23" borderId="18" xfId="1" applyFont="1" applyFill="1" applyBorder="1" applyAlignment="1">
      <alignment horizontal="left"/>
    </xf>
    <xf numFmtId="4" fontId="12" fillId="0" borderId="0" xfId="41" applyNumberFormat="1" applyFont="1"/>
    <xf numFmtId="3" fontId="0" fillId="18" borderId="0" xfId="0" applyNumberFormat="1" applyFill="1"/>
    <xf numFmtId="10" fontId="0" fillId="0" borderId="0" xfId="0" applyNumberFormat="1" applyBorder="1" applyAlignment="1"/>
    <xf numFmtId="164" fontId="4" fillId="11" borderId="14" xfId="41" applyNumberFormat="1" applyFont="1" applyFill="1" applyBorder="1" applyAlignment="1">
      <alignment horizontal="center" vertical="center"/>
    </xf>
    <xf numFmtId="0" fontId="4" fillId="11" borderId="7" xfId="41" applyFont="1" applyFill="1" applyBorder="1"/>
    <xf numFmtId="0" fontId="8" fillId="11" borderId="14" xfId="41" applyFont="1" applyFill="1" applyBorder="1"/>
    <xf numFmtId="164" fontId="9" fillId="25" borderId="9" xfId="41" applyNumberFormat="1" applyFont="1" applyFill="1" applyBorder="1" applyAlignment="1">
      <alignment horizontal="center"/>
    </xf>
    <xf numFmtId="164" fontId="4" fillId="0" borderId="15" xfId="41" applyNumberFormat="1" applyFont="1" applyFill="1" applyBorder="1" applyAlignment="1">
      <alignment horizontal="center" vertical="center"/>
    </xf>
    <xf numFmtId="0" fontId="9" fillId="25" borderId="7" xfId="41" applyFont="1" applyFill="1" applyBorder="1" applyAlignment="1">
      <alignment horizontal="center" vertical="center" wrapText="1"/>
    </xf>
    <xf numFmtId="0" fontId="9" fillId="25" borderId="74" xfId="41" applyFont="1" applyFill="1" applyBorder="1" applyAlignment="1">
      <alignment horizontal="center" vertical="center" wrapText="1"/>
    </xf>
    <xf numFmtId="6" fontId="9" fillId="0" borderId="68" xfId="41" applyNumberFormat="1" applyFont="1" applyBorder="1" applyAlignment="1">
      <alignment horizontal="center" vertical="center" wrapText="1"/>
    </xf>
    <xf numFmtId="6" fontId="9" fillId="0" borderId="75" xfId="41" applyNumberFormat="1" applyFont="1" applyBorder="1" applyAlignment="1">
      <alignment horizontal="center" vertical="center" wrapText="1"/>
    </xf>
    <xf numFmtId="0" fontId="8" fillId="22" borderId="9" xfId="41" applyFont="1" applyFill="1" applyBorder="1" applyAlignment="1" applyProtection="1">
      <alignment horizontal="center"/>
      <protection locked="0"/>
    </xf>
    <xf numFmtId="0" fontId="9" fillId="25" borderId="67" xfId="41" applyFont="1" applyFill="1" applyBorder="1" applyAlignment="1">
      <alignment horizontal="center" vertical="center" wrapText="1"/>
    </xf>
    <xf numFmtId="0" fontId="9" fillId="0" borderId="77" xfId="41" applyFont="1" applyBorder="1" applyAlignment="1">
      <alignment horizontal="center" vertical="center"/>
    </xf>
    <xf numFmtId="6" fontId="9" fillId="0" borderId="67" xfId="41" applyNumberFormat="1" applyFont="1" applyBorder="1" applyAlignment="1">
      <alignment horizontal="center" vertical="center" wrapText="1"/>
    </xf>
    <xf numFmtId="0" fontId="4" fillId="0" borderId="66" xfId="41" applyFont="1" applyBorder="1" applyAlignment="1">
      <alignment horizontal="left" vertical="center"/>
    </xf>
    <xf numFmtId="0" fontId="4" fillId="0" borderId="15" xfId="41" applyFont="1" applyBorder="1" applyAlignment="1">
      <alignment horizontal="left" vertical="center"/>
    </xf>
    <xf numFmtId="0" fontId="4" fillId="0" borderId="73" xfId="41" applyFont="1" applyBorder="1" applyAlignment="1">
      <alignment horizontal="left" vertical="center"/>
    </xf>
    <xf numFmtId="0" fontId="4" fillId="0" borderId="15" xfId="41" applyFont="1" applyBorder="1" applyAlignment="1">
      <alignment vertical="center"/>
    </xf>
    <xf numFmtId="0" fontId="4" fillId="11" borderId="9" xfId="41" applyFont="1" applyFill="1" applyBorder="1" applyAlignment="1">
      <alignment vertical="center"/>
    </xf>
    <xf numFmtId="0" fontId="9" fillId="0" borderId="51" xfId="41" applyFont="1" applyBorder="1" applyAlignment="1">
      <alignment horizontal="center" vertical="center"/>
    </xf>
    <xf numFmtId="0" fontId="9" fillId="25" borderId="9" xfId="41" applyFont="1" applyFill="1" applyBorder="1" applyAlignment="1">
      <alignment horizontal="center" vertical="center" wrapText="1"/>
    </xf>
    <xf numFmtId="0" fontId="12" fillId="25" borderId="9" xfId="41" applyFont="1" applyFill="1" applyBorder="1" applyAlignment="1">
      <alignment horizontal="center" vertical="center" wrapText="1"/>
    </xf>
    <xf numFmtId="0" fontId="12" fillId="25" borderId="7" xfId="41" applyFont="1" applyFill="1" applyBorder="1" applyAlignment="1">
      <alignment horizontal="center" vertical="center" wrapText="1"/>
    </xf>
    <xf numFmtId="0" fontId="12" fillId="25" borderId="74" xfId="41" applyFont="1" applyFill="1" applyBorder="1" applyAlignment="1">
      <alignment horizontal="center" vertical="center" wrapText="1"/>
    </xf>
    <xf numFmtId="0" fontId="12" fillId="0" borderId="0" xfId="41" applyFont="1" applyFill="1" applyBorder="1"/>
    <xf numFmtId="3" fontId="30" fillId="11" borderId="29" xfId="0" applyNumberFormat="1" applyFont="1" applyFill="1" applyBorder="1" applyAlignment="1">
      <alignment vertical="top" wrapText="1"/>
    </xf>
    <xf numFmtId="3" fontId="30" fillId="11" borderId="29" xfId="0" applyNumberFormat="1" applyFont="1" applyFill="1" applyBorder="1"/>
    <xf numFmtId="3" fontId="2" fillId="11" borderId="0" xfId="0" applyNumberFormat="1" applyFont="1" applyFill="1"/>
    <xf numFmtId="3" fontId="0" fillId="11" borderId="0" xfId="0" applyNumberFormat="1" applyFill="1"/>
    <xf numFmtId="3" fontId="2" fillId="0" borderId="0" xfId="0" applyNumberFormat="1" applyFont="1" applyFill="1" applyAlignment="1">
      <alignment wrapText="1"/>
    </xf>
    <xf numFmtId="3" fontId="0" fillId="34" borderId="0" xfId="0" applyNumberFormat="1" applyFill="1"/>
    <xf numFmtId="0" fontId="0" fillId="18" borderId="0" xfId="37" applyFont="1" applyFill="1" applyBorder="1" applyAlignment="1">
      <alignment vertical="center"/>
    </xf>
    <xf numFmtId="0" fontId="12" fillId="18" borderId="0" xfId="37" applyNumberFormat="1" applyFill="1" applyBorder="1" applyAlignment="1">
      <alignment vertical="center"/>
    </xf>
    <xf numFmtId="2" fontId="0" fillId="0" borderId="0" xfId="37" applyNumberFormat="1" applyFont="1" applyFill="1" applyBorder="1" applyAlignment="1">
      <alignment horizontal="right" vertical="center"/>
    </xf>
    <xf numFmtId="0" fontId="12" fillId="18" borderId="0" xfId="37" applyFont="1" applyFill="1" applyBorder="1" applyAlignment="1">
      <alignment vertical="center"/>
    </xf>
    <xf numFmtId="0" fontId="12" fillId="0" borderId="0" xfId="1" applyFill="1" applyBorder="1" applyAlignment="1">
      <alignment vertical="center"/>
    </xf>
    <xf numFmtId="0" fontId="12" fillId="0" borderId="0" xfId="1" applyBorder="1" applyAlignment="1">
      <alignment horizontal="center" vertical="center"/>
    </xf>
    <xf numFmtId="0" fontId="12" fillId="0" borderId="0" xfId="23" applyFill="1" applyBorder="1"/>
    <xf numFmtId="0" fontId="12" fillId="0" borderId="0" xfId="34" applyFont="1" applyFill="1" applyBorder="1"/>
    <xf numFmtId="0" fontId="12" fillId="0" borderId="0" xfId="39" applyFill="1" applyBorder="1"/>
    <xf numFmtId="2" fontId="12" fillId="0" borderId="0" xfId="37" applyNumberFormat="1" applyFont="1" applyFill="1" applyBorder="1" applyAlignment="1">
      <alignment horizontal="right" vertical="center"/>
    </xf>
    <xf numFmtId="3" fontId="12" fillId="0" borderId="35" xfId="0" applyNumberFormat="1" applyFont="1" applyFill="1" applyBorder="1"/>
    <xf numFmtId="0" fontId="12" fillId="23" borderId="12" xfId="1" applyFont="1" applyFill="1" applyBorder="1" applyAlignment="1">
      <alignment horizontal="left"/>
    </xf>
    <xf numFmtId="2" fontId="12" fillId="23" borderId="12" xfId="42" applyNumberFormat="1" applyFont="1" applyFill="1" applyBorder="1" applyAlignment="1">
      <alignment horizontal="left" wrapText="1"/>
    </xf>
    <xf numFmtId="0" fontId="12" fillId="23" borderId="19" xfId="1" applyFont="1" applyFill="1" applyBorder="1" applyAlignment="1">
      <alignment horizontal="left"/>
    </xf>
    <xf numFmtId="0" fontId="36" fillId="0" borderId="12" xfId="24" applyFill="1" applyBorder="1" applyAlignment="1">
      <alignment vertical="center"/>
    </xf>
    <xf numFmtId="0" fontId="12" fillId="0" borderId="34" xfId="0" applyNumberFormat="1" applyFont="1" applyFill="1" applyBorder="1"/>
    <xf numFmtId="0" fontId="12" fillId="0" borderId="35" xfId="0" applyNumberFormat="1" applyFont="1" applyFill="1" applyBorder="1"/>
    <xf numFmtId="0" fontId="48" fillId="0" borderId="12" xfId="41" applyBorder="1"/>
    <xf numFmtId="0" fontId="36" fillId="0" borderId="12" xfId="24" applyFill="1" applyBorder="1" applyAlignment="1">
      <alignment horizontal="right" vertical="center"/>
    </xf>
    <xf numFmtId="0" fontId="48" fillId="0" borderId="34" xfId="41" applyBorder="1" applyAlignment="1">
      <alignment horizontal="left"/>
    </xf>
    <xf numFmtId="0" fontId="12" fillId="23" borderId="12" xfId="1" applyFont="1" applyFill="1" applyBorder="1" applyAlignment="1">
      <alignment horizontal="left" vertical="center"/>
    </xf>
    <xf numFmtId="0" fontId="12" fillId="23" borderId="12" xfId="42" applyNumberFormat="1" applyFont="1" applyFill="1" applyBorder="1" applyAlignment="1">
      <alignment horizontal="left" wrapText="1"/>
    </xf>
    <xf numFmtId="0" fontId="36" fillId="0" borderId="12" xfId="24" applyFill="1" applyBorder="1" applyAlignment="1">
      <alignment horizontal="left" vertical="center"/>
    </xf>
    <xf numFmtId="0" fontId="12" fillId="0" borderId="0" xfId="1" applyFont="1" applyFill="1" applyBorder="1" applyAlignment="1">
      <alignment horizontal="left"/>
    </xf>
    <xf numFmtId="3" fontId="30" fillId="0" borderId="0" xfId="0" applyNumberFormat="1" applyFont="1" applyFill="1" applyBorder="1"/>
    <xf numFmtId="0" fontId="30" fillId="0" borderId="0" xfId="0" applyNumberFormat="1" applyFont="1" applyFill="1" applyBorder="1"/>
    <xf numFmtId="2" fontId="12" fillId="0" borderId="0" xfId="42" applyNumberFormat="1" applyFont="1" applyFill="1" applyBorder="1" applyAlignment="1">
      <alignment horizontal="left" wrapText="1"/>
    </xf>
    <xf numFmtId="0" fontId="12" fillId="0" borderId="0" xfId="42" applyNumberFormat="1" applyFont="1" applyFill="1" applyBorder="1" applyAlignment="1">
      <alignment horizontal="left" wrapText="1"/>
    </xf>
    <xf numFmtId="0" fontId="0" fillId="0" borderId="0" xfId="0" applyNumberFormat="1" applyFill="1" applyBorder="1"/>
    <xf numFmtId="0" fontId="7" fillId="0" borderId="0" xfId="1" applyFont="1" applyFill="1" applyBorder="1" applyAlignment="1" applyProtection="1">
      <alignment horizontal="left"/>
    </xf>
    <xf numFmtId="0" fontId="10" fillId="0" borderId="0" xfId="1" applyFont="1" applyFill="1" applyBorder="1" applyAlignment="1" applyProtection="1">
      <alignment horizontal="center"/>
    </xf>
    <xf numFmtId="3" fontId="12" fillId="0" borderId="0" xfId="1" applyNumberFormat="1" applyFill="1" applyBorder="1" applyAlignment="1">
      <alignment horizontal="center"/>
    </xf>
    <xf numFmtId="170" fontId="12" fillId="0" borderId="0" xfId="1" applyNumberFormat="1" applyFill="1" applyBorder="1" applyAlignment="1">
      <alignment horizontal="center"/>
    </xf>
    <xf numFmtId="0" fontId="48" fillId="0" borderId="0" xfId="41" applyFill="1" applyBorder="1" applyAlignment="1">
      <alignment horizontal="left"/>
    </xf>
    <xf numFmtId="0" fontId="12" fillId="0" borderId="0" xfId="1" applyFill="1" applyBorder="1" applyAlignment="1"/>
    <xf numFmtId="167" fontId="12" fillId="0" borderId="0" xfId="1" applyNumberFormat="1" applyFill="1" applyBorder="1" applyAlignment="1"/>
    <xf numFmtId="0" fontId="0" fillId="12" borderId="0" xfId="43" applyFont="1" applyFill="1"/>
    <xf numFmtId="0" fontId="0" fillId="0" borderId="0" xfId="0" applyFill="1" applyBorder="1" applyAlignment="1">
      <alignment horizontal="left"/>
    </xf>
    <xf numFmtId="169" fontId="0" fillId="0" borderId="0" xfId="0" applyNumberFormat="1"/>
    <xf numFmtId="10" fontId="0" fillId="0" borderId="0" xfId="0" applyNumberFormat="1" applyAlignment="1">
      <alignment horizontal="center"/>
    </xf>
    <xf numFmtId="0" fontId="12" fillId="35" borderId="9" xfId="41" applyFont="1" applyFill="1" applyBorder="1" applyAlignment="1">
      <alignment horizontal="center"/>
    </xf>
    <xf numFmtId="0" fontId="9" fillId="36" borderId="42" xfId="41" applyFont="1" applyFill="1" applyBorder="1" applyAlignment="1">
      <alignment horizontal="center" vertical="center"/>
    </xf>
    <xf numFmtId="0" fontId="9" fillId="36" borderId="68" xfId="41" applyFont="1" applyFill="1" applyBorder="1" applyAlignment="1">
      <alignment horizontal="center" vertical="center" wrapText="1"/>
    </xf>
    <xf numFmtId="164" fontId="4" fillId="36" borderId="15" xfId="41" applyNumberFormat="1" applyFont="1" applyFill="1" applyBorder="1" applyAlignment="1">
      <alignment horizontal="center" vertical="center"/>
    </xf>
    <xf numFmtId="0" fontId="4" fillId="36" borderId="45" xfId="41" applyFont="1" applyFill="1" applyBorder="1" applyAlignment="1">
      <alignment horizontal="left" vertical="center" wrapText="1"/>
    </xf>
    <xf numFmtId="0" fontId="12" fillId="25" borderId="66" xfId="41" applyFont="1" applyFill="1" applyBorder="1" applyAlignment="1">
      <alignment horizontal="center" vertical="center" wrapText="1"/>
    </xf>
    <xf numFmtId="0" fontId="9" fillId="25" borderId="1" xfId="41" applyFont="1" applyFill="1" applyBorder="1" applyAlignment="1">
      <alignment horizontal="center" vertical="center" wrapText="1"/>
    </xf>
    <xf numFmtId="164" fontId="9" fillId="25" borderId="66" xfId="41" applyNumberFormat="1" applyFont="1" applyFill="1" applyBorder="1" applyAlignment="1">
      <alignment horizontal="center"/>
    </xf>
    <xf numFmtId="0" fontId="9" fillId="0" borderId="0" xfId="41" applyFont="1" applyFill="1" applyBorder="1" applyAlignment="1"/>
    <xf numFmtId="0" fontId="48" fillId="0" borderId="1" xfId="41" applyBorder="1" applyProtection="1"/>
    <xf numFmtId="0" fontId="48" fillId="0" borderId="30" xfId="41" applyBorder="1" applyProtection="1"/>
    <xf numFmtId="3" fontId="48" fillId="0" borderId="2" xfId="41" applyNumberFormat="1" applyBorder="1" applyProtection="1"/>
    <xf numFmtId="3" fontId="48" fillId="0" borderId="0" xfId="41" applyNumberFormat="1" applyFill="1" applyBorder="1" applyProtection="1"/>
    <xf numFmtId="0" fontId="12" fillId="0" borderId="0" xfId="41" applyFont="1" applyProtection="1"/>
    <xf numFmtId="0" fontId="48" fillId="0" borderId="0" xfId="41" applyProtection="1"/>
    <xf numFmtId="0" fontId="48" fillId="0" borderId="3" xfId="41" applyBorder="1" applyProtection="1"/>
    <xf numFmtId="0" fontId="4" fillId="0" borderId="0" xfId="41" applyFont="1" applyFill="1" applyBorder="1" applyAlignment="1" applyProtection="1">
      <alignment horizontal="center"/>
    </xf>
    <xf numFmtId="0" fontId="48" fillId="0" borderId="0" xfId="41" applyBorder="1" applyProtection="1"/>
    <xf numFmtId="3" fontId="48" fillId="0" borderId="4" xfId="41" applyNumberFormat="1" applyBorder="1" applyProtection="1"/>
    <xf numFmtId="0" fontId="4" fillId="23" borderId="0" xfId="41" applyFont="1" applyFill="1" applyBorder="1" applyAlignment="1" applyProtection="1">
      <alignment horizontal="center"/>
    </xf>
    <xf numFmtId="0" fontId="9" fillId="23" borderId="0" xfId="23" applyFont="1" applyFill="1" applyBorder="1" applyProtection="1"/>
    <xf numFmtId="0" fontId="4" fillId="4" borderId="0" xfId="23" applyFont="1" applyFill="1" applyBorder="1" applyAlignment="1" applyProtection="1">
      <alignment horizontal="center" vertical="center"/>
    </xf>
    <xf numFmtId="0" fontId="4" fillId="0" borderId="0" xfId="23" applyFont="1" applyFill="1" applyBorder="1" applyAlignment="1" applyProtection="1">
      <alignment vertical="center"/>
    </xf>
    <xf numFmtId="0" fontId="4" fillId="3" borderId="9" xfId="23" applyFont="1" applyFill="1" applyBorder="1" applyAlignment="1" applyProtection="1">
      <alignment horizontal="center" vertical="center" wrapText="1"/>
    </xf>
    <xf numFmtId="3" fontId="4" fillId="3" borderId="9" xfId="23" applyNumberFormat="1" applyFont="1" applyFill="1" applyBorder="1" applyAlignment="1" applyProtection="1">
      <alignment horizontal="center" vertical="center"/>
    </xf>
    <xf numFmtId="0" fontId="4" fillId="0" borderId="0" xfId="23" applyFont="1" applyFill="1" applyBorder="1" applyAlignment="1" applyProtection="1">
      <alignment horizontal="center"/>
    </xf>
    <xf numFmtId="0" fontId="9" fillId="0" borderId="0" xfId="23" applyFont="1" applyFill="1" applyBorder="1" applyProtection="1"/>
    <xf numFmtId="0" fontId="4" fillId="4" borderId="9" xfId="23" applyFont="1" applyFill="1" applyBorder="1" applyAlignment="1" applyProtection="1">
      <alignment horizontal="center" vertical="center"/>
    </xf>
    <xf numFmtId="3" fontId="4" fillId="4" borderId="9" xfId="23" applyNumberFormat="1" applyFont="1" applyFill="1" applyBorder="1" applyAlignment="1" applyProtection="1">
      <alignment horizontal="center" vertical="center"/>
    </xf>
    <xf numFmtId="0" fontId="4" fillId="0" borderId="0" xfId="23" applyFont="1" applyFill="1" applyBorder="1" applyAlignment="1" applyProtection="1">
      <alignment horizontal="center" vertical="center"/>
    </xf>
    <xf numFmtId="0" fontId="4" fillId="0" borderId="3" xfId="23" applyFont="1" applyFill="1" applyBorder="1" applyAlignment="1" applyProtection="1">
      <alignment vertical="center"/>
    </xf>
    <xf numFmtId="0" fontId="9" fillId="0" borderId="4" xfId="23" applyFont="1" applyFill="1" applyBorder="1" applyProtection="1"/>
    <xf numFmtId="0" fontId="9" fillId="0" borderId="3" xfId="23" applyFont="1" applyFill="1" applyBorder="1" applyProtection="1"/>
    <xf numFmtId="3" fontId="9" fillId="0" borderId="4" xfId="23" applyNumberFormat="1" applyFont="1" applyFill="1" applyBorder="1" applyProtection="1"/>
    <xf numFmtId="0" fontId="4" fillId="2" borderId="87" xfId="23" applyFont="1" applyFill="1" applyBorder="1" applyAlignment="1" applyProtection="1">
      <alignment horizontal="center" vertical="center" wrapText="1"/>
    </xf>
    <xf numFmtId="17" fontId="4" fillId="2" borderId="85" xfId="23" applyNumberFormat="1" applyFont="1" applyFill="1" applyBorder="1" applyAlignment="1" applyProtection="1">
      <alignment horizontal="center" vertical="center" wrapText="1"/>
    </xf>
    <xf numFmtId="3" fontId="4" fillId="2" borderId="86" xfId="23" applyNumberFormat="1" applyFont="1" applyFill="1" applyBorder="1" applyAlignment="1" applyProtection="1">
      <alignment horizontal="center" wrapText="1"/>
    </xf>
    <xf numFmtId="0" fontId="4" fillId="0" borderId="0" xfId="23" applyFont="1" applyFill="1" applyBorder="1" applyAlignment="1" applyProtection="1">
      <alignment horizontal="center" wrapText="1"/>
    </xf>
    <xf numFmtId="0" fontId="12" fillId="0" borderId="0" xfId="41" applyFont="1" applyBorder="1" applyProtection="1"/>
    <xf numFmtId="0" fontId="9" fillId="0" borderId="51" xfId="23" applyFont="1" applyBorder="1" applyProtection="1"/>
    <xf numFmtId="0" fontId="54" fillId="15" borderId="0" xfId="24" applyFont="1" applyFill="1" applyBorder="1" applyAlignment="1" applyProtection="1">
      <alignment horizontal="center"/>
    </xf>
    <xf numFmtId="3" fontId="9" fillId="0" borderId="55" xfId="23" applyNumberFormat="1" applyFont="1" applyFill="1" applyBorder="1" applyAlignment="1" applyProtection="1">
      <alignment horizontal="center" vertical="center"/>
    </xf>
    <xf numFmtId="164" fontId="9" fillId="6" borderId="83" xfId="23" applyNumberFormat="1" applyFont="1" applyFill="1" applyBorder="1" applyAlignment="1" applyProtection="1">
      <alignment horizontal="center"/>
    </xf>
    <xf numFmtId="164" fontId="9" fillId="0" borderId="0" xfId="23" applyNumberFormat="1" applyFont="1" applyFill="1" applyBorder="1" applyAlignment="1" applyProtection="1">
      <alignment horizontal="center"/>
    </xf>
    <xf numFmtId="3" fontId="9" fillId="0" borderId="0" xfId="23" applyNumberFormat="1" applyFont="1" applyFill="1" applyBorder="1" applyAlignment="1" applyProtection="1">
      <alignment horizontal="center" vertical="center"/>
    </xf>
    <xf numFmtId="0" fontId="9" fillId="0" borderId="52" xfId="23" applyFont="1" applyBorder="1" applyProtection="1"/>
    <xf numFmtId="0" fontId="54" fillId="15" borderId="32" xfId="24" applyFont="1" applyFill="1" applyBorder="1" applyAlignment="1" applyProtection="1">
      <alignment horizontal="center"/>
    </xf>
    <xf numFmtId="3" fontId="9" fillId="0" borderId="54" xfId="23" applyNumberFormat="1" applyFont="1" applyFill="1" applyBorder="1" applyAlignment="1" applyProtection="1">
      <alignment horizontal="center" vertical="center"/>
    </xf>
    <xf numFmtId="164" fontId="9" fillId="6" borderId="35" xfId="23" applyNumberFormat="1" applyFont="1" applyFill="1" applyBorder="1" applyAlignment="1" applyProtection="1">
      <alignment horizontal="center"/>
    </xf>
    <xf numFmtId="172" fontId="54" fillId="15" borderId="32" xfId="24" applyNumberFormat="1" applyFont="1" applyFill="1" applyBorder="1" applyAlignment="1" applyProtection="1">
      <alignment horizontal="center"/>
    </xf>
    <xf numFmtId="0" fontId="9" fillId="0" borderId="61" xfId="23" applyFont="1" applyBorder="1" applyProtection="1"/>
    <xf numFmtId="164" fontId="9" fillId="6" borderId="80" xfId="23" applyNumberFormat="1" applyFont="1" applyFill="1" applyBorder="1" applyAlignment="1" applyProtection="1">
      <alignment horizontal="center"/>
    </xf>
    <xf numFmtId="0" fontId="4" fillId="19" borderId="7" xfId="23" applyFont="1" applyFill="1" applyBorder="1" applyAlignment="1" applyProtection="1">
      <alignment vertical="center" wrapText="1"/>
    </xf>
    <xf numFmtId="0" fontId="4" fillId="19" borderId="8" xfId="23" applyFont="1" applyFill="1" applyBorder="1" applyAlignment="1" applyProtection="1">
      <alignment horizontal="center" vertical="center" wrapText="1"/>
    </xf>
    <xf numFmtId="0" fontId="4" fillId="19" borderId="84" xfId="23" applyFont="1" applyFill="1" applyBorder="1" applyAlignment="1" applyProtection="1">
      <alignment horizontal="center" vertical="center" wrapText="1"/>
    </xf>
    <xf numFmtId="0" fontId="4" fillId="19" borderId="85" xfId="23" applyFont="1" applyFill="1" applyBorder="1" applyAlignment="1" applyProtection="1">
      <alignment horizontal="center" vertical="center" wrapText="1"/>
    </xf>
    <xf numFmtId="3" fontId="4" fillId="19" borderId="86" xfId="23" applyNumberFormat="1" applyFont="1" applyFill="1" applyBorder="1" applyAlignment="1" applyProtection="1">
      <alignment horizontal="center" vertical="center" wrapText="1"/>
    </xf>
    <xf numFmtId="0" fontId="4" fillId="0" borderId="0" xfId="23" applyFont="1" applyFill="1" applyBorder="1" applyAlignment="1" applyProtection="1">
      <alignment horizontal="center" vertical="center" wrapText="1"/>
    </xf>
    <xf numFmtId="0" fontId="9" fillId="0" borderId="23" xfId="23" applyFont="1" applyBorder="1" applyAlignment="1" applyProtection="1">
      <alignment horizontal="left" wrapText="1"/>
    </xf>
    <xf numFmtId="0" fontId="9" fillId="15" borderId="23" xfId="23" applyFont="1" applyFill="1" applyBorder="1" applyAlignment="1" applyProtection="1">
      <alignment horizontal="center"/>
    </xf>
    <xf numFmtId="0" fontId="9" fillId="6" borderId="81" xfId="23" applyFont="1" applyFill="1" applyBorder="1" applyProtection="1"/>
    <xf numFmtId="3" fontId="9" fillId="6" borderId="82" xfId="23" applyNumberFormat="1" applyFont="1" applyFill="1" applyBorder="1" applyAlignment="1" applyProtection="1">
      <alignment horizontal="center"/>
    </xf>
    <xf numFmtId="0" fontId="9" fillId="0" borderId="52" xfId="23" applyFont="1" applyFill="1" applyBorder="1" applyProtection="1"/>
    <xf numFmtId="0" fontId="9" fillId="15" borderId="53" xfId="23" applyFont="1" applyFill="1" applyBorder="1" applyAlignment="1" applyProtection="1">
      <alignment horizontal="center"/>
    </xf>
    <xf numFmtId="0" fontId="9" fillId="6" borderId="56" xfId="23" applyFont="1" applyFill="1" applyBorder="1" applyProtection="1"/>
    <xf numFmtId="3" fontId="9" fillId="6" borderId="56" xfId="23" applyNumberFormat="1" applyFont="1" applyFill="1" applyBorder="1" applyAlignment="1" applyProtection="1">
      <alignment horizontal="center"/>
    </xf>
    <xf numFmtId="0" fontId="9" fillId="0" borderId="61" xfId="23" applyFont="1" applyFill="1" applyBorder="1" applyProtection="1"/>
    <xf numFmtId="0" fontId="9" fillId="15" borderId="78" xfId="23" applyFont="1" applyFill="1" applyBorder="1" applyAlignment="1" applyProtection="1">
      <alignment horizontal="center"/>
    </xf>
    <xf numFmtId="0" fontId="9" fillId="6" borderId="60" xfId="23" applyFont="1" applyFill="1" applyBorder="1" applyProtection="1"/>
    <xf numFmtId="3" fontId="9" fillId="6" borderId="60" xfId="23" applyNumberFormat="1" applyFont="1" applyFill="1" applyBorder="1" applyAlignment="1" applyProtection="1">
      <alignment horizontal="center"/>
    </xf>
    <xf numFmtId="0" fontId="4" fillId="27" borderId="47" xfId="23" applyFont="1" applyFill="1" applyBorder="1" applyAlignment="1" applyProtection="1">
      <alignment vertical="center" wrapText="1"/>
    </xf>
    <xf numFmtId="0" fontId="4" fillId="27" borderId="85" xfId="23" applyFont="1" applyFill="1" applyBorder="1" applyAlignment="1" applyProtection="1">
      <alignment horizontal="center" vertical="center" wrapText="1"/>
    </xf>
    <xf numFmtId="0" fontId="4" fillId="27" borderId="87" xfId="23" applyFont="1" applyFill="1" applyBorder="1" applyAlignment="1" applyProtection="1">
      <alignment horizontal="center" vertical="center" wrapText="1"/>
    </xf>
    <xf numFmtId="3" fontId="4" fillId="27" borderId="86" xfId="23" applyNumberFormat="1" applyFont="1" applyFill="1" applyBorder="1" applyAlignment="1" applyProtection="1">
      <alignment horizontal="center" vertical="center" wrapText="1"/>
    </xf>
    <xf numFmtId="0" fontId="9" fillId="6" borderId="62" xfId="23" applyFont="1" applyFill="1" applyBorder="1" applyProtection="1"/>
    <xf numFmtId="43" fontId="9" fillId="6" borderId="79" xfId="12" applyFont="1" applyFill="1" applyBorder="1" applyProtection="1"/>
    <xf numFmtId="0" fontId="9" fillId="6" borderId="82" xfId="23" applyFont="1" applyFill="1" applyBorder="1" applyProtection="1"/>
    <xf numFmtId="0" fontId="9" fillId="6" borderId="82" xfId="23" applyFont="1" applyFill="1" applyBorder="1" applyAlignment="1" applyProtection="1">
      <alignment vertical="center" wrapText="1"/>
    </xf>
    <xf numFmtId="0" fontId="9" fillId="6" borderId="57" xfId="23" applyFont="1" applyFill="1" applyBorder="1" applyProtection="1"/>
    <xf numFmtId="43" fontId="9" fillId="6" borderId="59" xfId="12" applyFont="1" applyFill="1" applyBorder="1" applyProtection="1"/>
    <xf numFmtId="0" fontId="12" fillId="0" borderId="60" xfId="23" applyBorder="1" applyAlignment="1" applyProtection="1">
      <alignment vertical="center" wrapText="1"/>
    </xf>
    <xf numFmtId="0" fontId="4" fillId="20" borderId="7" xfId="23" applyFont="1" applyFill="1" applyBorder="1" applyAlignment="1" applyProtection="1">
      <alignment vertical="center" wrapText="1"/>
    </xf>
    <xf numFmtId="0" fontId="4" fillId="20" borderId="85" xfId="23" applyFont="1" applyFill="1" applyBorder="1" applyAlignment="1" applyProtection="1">
      <alignment horizontal="center" vertical="center" wrapText="1"/>
    </xf>
    <xf numFmtId="0" fontId="4" fillId="20" borderId="87" xfId="23" applyFont="1" applyFill="1" applyBorder="1" applyAlignment="1" applyProtection="1">
      <alignment horizontal="center" vertical="center" wrapText="1"/>
    </xf>
    <xf numFmtId="3" fontId="4" fillId="20" borderId="86" xfId="23" applyNumberFormat="1" applyFont="1" applyFill="1" applyBorder="1" applyAlignment="1" applyProtection="1">
      <alignment horizontal="center" vertical="center" wrapText="1"/>
    </xf>
    <xf numFmtId="0" fontId="9" fillId="6" borderId="56" xfId="23" applyFont="1" applyFill="1" applyBorder="1" applyAlignment="1" applyProtection="1">
      <alignment horizontal="center"/>
    </xf>
    <xf numFmtId="0" fontId="12" fillId="23" borderId="0" xfId="41" applyFont="1" applyFill="1" applyBorder="1" applyProtection="1"/>
    <xf numFmtId="0" fontId="4" fillId="23" borderId="0" xfId="23" applyFont="1" applyFill="1" applyBorder="1" applyAlignment="1" applyProtection="1">
      <alignment horizontal="right" vertical="center"/>
    </xf>
    <xf numFmtId="0" fontId="9" fillId="6" borderId="58" xfId="23" applyFont="1" applyFill="1" applyBorder="1" applyProtection="1"/>
    <xf numFmtId="3" fontId="12" fillId="23" borderId="0" xfId="41" applyNumberFormat="1" applyFont="1" applyFill="1" applyBorder="1" applyProtection="1"/>
    <xf numFmtId="0" fontId="12" fillId="23" borderId="0" xfId="41" applyFont="1" applyFill="1" applyProtection="1"/>
    <xf numFmtId="3" fontId="9" fillId="18" borderId="56" xfId="23" applyNumberFormat="1" applyFont="1" applyFill="1" applyBorder="1" applyAlignment="1" applyProtection="1">
      <alignment horizontal="center"/>
    </xf>
    <xf numFmtId="0" fontId="9" fillId="18" borderId="57" xfId="23" applyFont="1" applyFill="1" applyBorder="1" applyProtection="1"/>
    <xf numFmtId="43" fontId="9" fillId="6" borderId="59" xfId="12" applyFont="1" applyFill="1" applyBorder="1" applyAlignment="1" applyProtection="1">
      <alignment horizontal="center"/>
    </xf>
    <xf numFmtId="0" fontId="4" fillId="11" borderId="7" xfId="23" applyFont="1" applyFill="1" applyBorder="1" applyAlignment="1" applyProtection="1">
      <alignment horizontal="left" vertical="center"/>
    </xf>
    <xf numFmtId="0" fontId="4" fillId="11" borderId="8" xfId="23" applyFont="1" applyFill="1" applyBorder="1" applyProtection="1"/>
    <xf numFmtId="0" fontId="9" fillId="11" borderId="8" xfId="23" applyFont="1" applyFill="1" applyBorder="1" applyAlignment="1" applyProtection="1">
      <alignment vertical="center"/>
    </xf>
    <xf numFmtId="164" fontId="4" fillId="11" borderId="9" xfId="41" applyNumberFormat="1" applyFont="1" applyFill="1" applyBorder="1" applyAlignment="1" applyProtection="1">
      <alignment horizontal="center"/>
    </xf>
    <xf numFmtId="164" fontId="4" fillId="0" borderId="0" xfId="41" applyNumberFormat="1" applyFont="1" applyFill="1" applyBorder="1" applyAlignment="1" applyProtection="1">
      <alignment horizontal="center"/>
    </xf>
    <xf numFmtId="0" fontId="4" fillId="0" borderId="0" xfId="41" applyFont="1" applyFill="1" applyBorder="1" applyAlignment="1" applyProtection="1">
      <alignment horizontal="center" vertical="center"/>
    </xf>
    <xf numFmtId="0" fontId="8" fillId="25" borderId="36" xfId="41" applyFont="1" applyFill="1" applyBorder="1" applyAlignment="1" applyProtection="1">
      <alignment horizontal="center" vertical="center" wrapText="1"/>
    </xf>
    <xf numFmtId="0" fontId="8" fillId="25" borderId="10" xfId="41" applyFont="1" applyFill="1" applyBorder="1" applyAlignment="1" applyProtection="1">
      <alignment horizontal="center" vertical="center" wrapText="1"/>
    </xf>
    <xf numFmtId="0" fontId="8" fillId="25" borderId="50" xfId="41" applyFont="1" applyFill="1" applyBorder="1" applyAlignment="1" applyProtection="1">
      <alignment horizontal="center"/>
    </xf>
    <xf numFmtId="3" fontId="8" fillId="25" borderId="67" xfId="41" applyNumberFormat="1" applyFont="1" applyFill="1" applyBorder="1" applyAlignment="1" applyProtection="1">
      <alignment horizontal="center"/>
    </xf>
    <xf numFmtId="3" fontId="8" fillId="0" borderId="0" xfId="41" applyNumberFormat="1" applyFont="1" applyFill="1" applyBorder="1" applyAlignment="1" applyProtection="1">
      <alignment horizontal="center"/>
    </xf>
    <xf numFmtId="0" fontId="4" fillId="0" borderId="45" xfId="41" applyFont="1" applyBorder="1" applyAlignment="1" applyProtection="1">
      <alignment horizontal="left" vertical="center"/>
    </xf>
    <xf numFmtId="0" fontId="9" fillId="0" borderId="19" xfId="41" applyFont="1" applyBorder="1" applyAlignment="1" applyProtection="1">
      <alignment horizontal="left" wrapText="1"/>
    </xf>
    <xf numFmtId="0" fontId="9" fillId="19" borderId="19" xfId="41" applyFont="1" applyFill="1" applyBorder="1" applyProtection="1"/>
    <xf numFmtId="164" fontId="9" fillId="19" borderId="12" xfId="1" applyNumberFormat="1" applyFont="1" applyFill="1" applyBorder="1" applyAlignment="1" applyProtection="1">
      <alignment horizontal="center"/>
    </xf>
    <xf numFmtId="164" fontId="9" fillId="19" borderId="31" xfId="41" applyNumberFormat="1" applyFont="1" applyFill="1" applyBorder="1" applyAlignment="1" applyProtection="1"/>
    <xf numFmtId="1" fontId="9" fillId="0" borderId="31" xfId="41" applyNumberFormat="1" applyFont="1" applyFill="1" applyBorder="1" applyAlignment="1" applyProtection="1">
      <alignment horizontal="center"/>
    </xf>
    <xf numFmtId="164" fontId="9" fillId="0" borderId="41" xfId="41" applyNumberFormat="1" applyFont="1" applyFill="1" applyBorder="1" applyAlignment="1" applyProtection="1">
      <alignment horizontal="center"/>
    </xf>
    <xf numFmtId="164" fontId="9" fillId="0" borderId="0" xfId="41" applyNumberFormat="1" applyFont="1" applyFill="1" applyBorder="1" applyAlignment="1" applyProtection="1">
      <alignment horizontal="center"/>
    </xf>
    <xf numFmtId="0" fontId="9" fillId="0" borderId="0" xfId="41" applyFont="1" applyProtection="1"/>
    <xf numFmtId="0" fontId="8" fillId="25" borderId="33" xfId="41" applyFont="1" applyFill="1" applyBorder="1" applyAlignment="1" applyProtection="1">
      <alignment horizontal="center"/>
    </xf>
    <xf numFmtId="164" fontId="8" fillId="25" borderId="44" xfId="41" applyNumberFormat="1" applyFont="1" applyFill="1" applyBorder="1" applyAlignment="1" applyProtection="1">
      <alignment horizontal="center"/>
    </xf>
    <xf numFmtId="164" fontId="8" fillId="0" borderId="0" xfId="41" applyNumberFormat="1" applyFont="1" applyFill="1" applyBorder="1" applyAlignment="1" applyProtection="1">
      <alignment horizontal="center"/>
    </xf>
    <xf numFmtId="0" fontId="4" fillId="0" borderId="45" xfId="41" applyFont="1" applyBorder="1" applyProtection="1"/>
    <xf numFmtId="0" fontId="48" fillId="19" borderId="19" xfId="41" applyFill="1" applyBorder="1" applyProtection="1"/>
    <xf numFmtId="164" fontId="48" fillId="19" borderId="31" xfId="41" applyNumberFormat="1" applyFill="1" applyBorder="1" applyAlignment="1" applyProtection="1"/>
    <xf numFmtId="0" fontId="9" fillId="0" borderId="31" xfId="41" applyFont="1" applyBorder="1" applyAlignment="1" applyProtection="1">
      <alignment horizontal="center"/>
    </xf>
    <xf numFmtId="166" fontId="9" fillId="0" borderId="0" xfId="41" applyNumberFormat="1" applyFont="1" applyFill="1" applyBorder="1" applyAlignment="1" applyProtection="1">
      <alignment horizontal="center"/>
    </xf>
    <xf numFmtId="0" fontId="4" fillId="11" borderId="47" xfId="41" applyFont="1" applyFill="1" applyBorder="1" applyAlignment="1" applyProtection="1">
      <alignment horizontal="left" vertical="center"/>
    </xf>
    <xf numFmtId="0" fontId="8" fillId="11" borderId="49" xfId="41" applyFont="1" applyFill="1" applyBorder="1" applyAlignment="1" applyProtection="1">
      <alignment horizontal="center"/>
    </xf>
    <xf numFmtId="164" fontId="4" fillId="11" borderId="14" xfId="41" applyNumberFormat="1" applyFont="1" applyFill="1" applyBorder="1" applyAlignment="1" applyProtection="1">
      <alignment horizontal="center" vertical="center"/>
    </xf>
    <xf numFmtId="164" fontId="9" fillId="23" borderId="0" xfId="23" applyNumberFormat="1" applyFont="1" applyFill="1" applyBorder="1" applyProtection="1"/>
    <xf numFmtId="0" fontId="8" fillId="0" borderId="11" xfId="41" applyFont="1" applyFill="1" applyBorder="1" applyAlignment="1" applyProtection="1">
      <alignment horizontal="center" vertical="center" wrapText="1"/>
    </xf>
    <xf numFmtId="0" fontId="8" fillId="0" borderId="16" xfId="41" applyFont="1" applyFill="1" applyBorder="1" applyAlignment="1" applyProtection="1">
      <alignment horizontal="center"/>
    </xf>
    <xf numFmtId="3" fontId="8" fillId="0" borderId="68" xfId="41" applyNumberFormat="1" applyFont="1" applyFill="1" applyBorder="1" applyAlignment="1" applyProtection="1">
      <alignment horizontal="center"/>
    </xf>
    <xf numFmtId="0" fontId="12" fillId="0" borderId="0" xfId="41" applyFont="1" applyFill="1" applyProtection="1"/>
    <xf numFmtId="0" fontId="48" fillId="0" borderId="0" xfId="41" applyFill="1" applyProtection="1"/>
    <xf numFmtId="0" fontId="8" fillId="25" borderId="11" xfId="41" applyFont="1" applyFill="1" applyBorder="1" applyAlignment="1" applyProtection="1">
      <alignment horizontal="center" vertical="center" wrapText="1"/>
    </xf>
    <xf numFmtId="0" fontId="8" fillId="25" borderId="12" xfId="41" applyFont="1" applyFill="1" applyBorder="1" applyAlignment="1" applyProtection="1">
      <alignment horizontal="center"/>
    </xf>
    <xf numFmtId="3" fontId="8" fillId="25" borderId="12" xfId="41" applyNumberFormat="1" applyFont="1" applyFill="1" applyBorder="1" applyAlignment="1" applyProtection="1">
      <alignment horizontal="center"/>
    </xf>
    <xf numFmtId="0" fontId="4" fillId="30" borderId="45" xfId="41" applyFont="1" applyFill="1" applyBorder="1" applyAlignment="1" applyProtection="1">
      <alignment horizontal="left" wrapText="1"/>
    </xf>
    <xf numFmtId="0" fontId="9" fillId="30" borderId="19" xfId="41" applyFont="1" applyFill="1" applyBorder="1" applyAlignment="1" applyProtection="1">
      <alignment horizontal="left" wrapText="1"/>
    </xf>
    <xf numFmtId="0" fontId="48" fillId="30" borderId="19" xfId="41" applyFill="1" applyBorder="1" applyProtection="1"/>
    <xf numFmtId="164" fontId="9" fillId="30" borderId="12" xfId="1" applyNumberFormat="1" applyFont="1" applyFill="1" applyBorder="1" applyAlignment="1" applyProtection="1">
      <alignment horizontal="center"/>
    </xf>
    <xf numFmtId="164" fontId="48" fillId="30" borderId="31" xfId="41" applyNumberFormat="1" applyFill="1" applyBorder="1" applyAlignment="1" applyProtection="1"/>
    <xf numFmtId="0" fontId="9" fillId="30" borderId="31" xfId="41" applyFont="1" applyFill="1" applyBorder="1" applyAlignment="1" applyProtection="1">
      <alignment horizontal="center"/>
    </xf>
    <xf numFmtId="164" fontId="9" fillId="30" borderId="41" xfId="41" applyNumberFormat="1" applyFont="1" applyFill="1" applyBorder="1" applyAlignment="1" applyProtection="1">
      <alignment horizontal="center"/>
    </xf>
    <xf numFmtId="164" fontId="4" fillId="0" borderId="30" xfId="41" applyNumberFormat="1" applyFont="1" applyFill="1" applyBorder="1" applyAlignment="1" applyProtection="1">
      <alignment horizontal="left"/>
    </xf>
    <xf numFmtId="0" fontId="12" fillId="0" borderId="24" xfId="41" applyFont="1" applyFill="1" applyBorder="1" applyAlignment="1" applyProtection="1">
      <alignment horizontal="left" wrapText="1"/>
    </xf>
    <xf numFmtId="0" fontId="48" fillId="0" borderId="24" xfId="41" applyFill="1" applyBorder="1" applyProtection="1"/>
    <xf numFmtId="164" fontId="4" fillId="0" borderId="30" xfId="41" applyNumberFormat="1" applyFont="1" applyFill="1" applyBorder="1" applyAlignment="1" applyProtection="1">
      <alignment horizontal="center"/>
    </xf>
    <xf numFmtId="164" fontId="48" fillId="0" borderId="25" xfId="41" applyNumberFormat="1" applyFill="1" applyBorder="1" applyAlignment="1" applyProtection="1"/>
    <xf numFmtId="0" fontId="9" fillId="0" borderId="25" xfId="41" applyFont="1" applyFill="1" applyBorder="1" applyAlignment="1" applyProtection="1">
      <alignment horizontal="center"/>
    </xf>
    <xf numFmtId="164" fontId="9" fillId="0" borderId="44" xfId="41" applyNumberFormat="1" applyFont="1" applyFill="1" applyBorder="1" applyAlignment="1" applyProtection="1">
      <alignment horizontal="center"/>
    </xf>
    <xf numFmtId="0" fontId="8" fillId="25" borderId="47" xfId="41" applyFont="1" applyFill="1" applyBorder="1" applyAlignment="1" applyProtection="1">
      <alignment horizontal="center" vertical="center" wrapText="1"/>
    </xf>
    <xf numFmtId="0" fontId="8" fillId="25" borderId="76" xfId="41" applyFont="1" applyFill="1" applyBorder="1" applyAlignment="1" applyProtection="1">
      <alignment horizontal="center" vertical="center" wrapText="1"/>
    </xf>
    <xf numFmtId="0" fontId="48" fillId="25" borderId="76" xfId="41" applyFill="1" applyBorder="1" applyAlignment="1" applyProtection="1">
      <alignment horizontal="center"/>
    </xf>
    <xf numFmtId="164" fontId="8" fillId="25" borderId="74" xfId="41" applyNumberFormat="1" applyFont="1" applyFill="1" applyBorder="1" applyAlignment="1" applyProtection="1">
      <alignment horizontal="center"/>
    </xf>
    <xf numFmtId="164" fontId="9" fillId="0" borderId="0" xfId="23" applyNumberFormat="1" applyFont="1" applyFill="1" applyBorder="1" applyProtection="1"/>
    <xf numFmtId="0" fontId="4" fillId="0" borderId="0" xfId="41" applyFont="1" applyFill="1" applyBorder="1" applyProtection="1"/>
    <xf numFmtId="164" fontId="8" fillId="0" borderId="0" xfId="41" applyNumberFormat="1" applyFont="1" applyFill="1" applyBorder="1" applyProtection="1"/>
    <xf numFmtId="0" fontId="8" fillId="0" borderId="0" xfId="41" applyFont="1" applyFill="1" applyBorder="1" applyProtection="1"/>
    <xf numFmtId="164" fontId="8" fillId="0" borderId="0" xfId="41" applyNumberFormat="1" applyFont="1" applyFill="1" applyBorder="1" applyAlignment="1" applyProtection="1"/>
    <xf numFmtId="0" fontId="8" fillId="0" borderId="0" xfId="41" applyFont="1" applyFill="1" applyBorder="1" applyAlignment="1" applyProtection="1">
      <alignment horizontal="center"/>
    </xf>
    <xf numFmtId="3" fontId="48" fillId="0" borderId="0" xfId="41" applyNumberFormat="1" applyBorder="1" applyProtection="1"/>
    <xf numFmtId="0" fontId="8" fillId="0" borderId="3" xfId="41" applyFont="1" applyBorder="1" applyProtection="1"/>
    <xf numFmtId="0" fontId="8" fillId="24" borderId="3" xfId="41" applyFont="1" applyFill="1" applyBorder="1" applyProtection="1"/>
    <xf numFmtId="0" fontId="48" fillId="24" borderId="0" xfId="41" applyFill="1" applyBorder="1" applyProtection="1"/>
    <xf numFmtId="3" fontId="48" fillId="24" borderId="4" xfId="41" applyNumberFormat="1" applyFill="1" applyBorder="1" applyProtection="1"/>
    <xf numFmtId="0" fontId="8" fillId="0" borderId="37" xfId="41" applyFont="1" applyBorder="1" applyAlignment="1" applyProtection="1">
      <alignment horizontal="center" vertical="center" wrapText="1"/>
    </xf>
    <xf numFmtId="0" fontId="8" fillId="0" borderId="12" xfId="41" applyFont="1" applyBorder="1" applyAlignment="1" applyProtection="1">
      <alignment horizontal="center" vertical="center" wrapText="1"/>
    </xf>
    <xf numFmtId="0" fontId="8" fillId="0" borderId="38" xfId="41" applyFont="1" applyBorder="1" applyAlignment="1" applyProtection="1">
      <alignment horizontal="center" vertical="center" wrapText="1"/>
    </xf>
    <xf numFmtId="0" fontId="8" fillId="0" borderId="10" xfId="41" applyFont="1" applyBorder="1" applyAlignment="1" applyProtection="1">
      <alignment horizontal="center" wrapText="1"/>
    </xf>
    <xf numFmtId="3" fontId="8" fillId="0" borderId="37" xfId="41" applyNumberFormat="1" applyFont="1" applyBorder="1" applyAlignment="1" applyProtection="1">
      <alignment horizontal="center" wrapText="1"/>
    </xf>
    <xf numFmtId="3" fontId="8" fillId="31" borderId="70" xfId="41" applyNumberFormat="1" applyFont="1" applyFill="1" applyBorder="1" applyAlignment="1" applyProtection="1">
      <alignment horizontal="center" wrapText="1"/>
    </xf>
    <xf numFmtId="3" fontId="8" fillId="31" borderId="72" xfId="41" applyNumberFormat="1" applyFont="1" applyFill="1" applyBorder="1" applyAlignment="1" applyProtection="1">
      <alignment horizontal="center" wrapText="1"/>
    </xf>
    <xf numFmtId="0" fontId="12" fillId="0" borderId="0" xfId="41" applyFont="1" applyAlignment="1" applyProtection="1">
      <alignment wrapText="1"/>
    </xf>
    <xf numFmtId="0" fontId="48" fillId="0" borderId="0" xfId="41" applyAlignment="1" applyProtection="1">
      <alignment wrapText="1"/>
    </xf>
    <xf numFmtId="0" fontId="9" fillId="0" borderId="20" xfId="41" applyFont="1" applyBorder="1" applyProtection="1"/>
    <xf numFmtId="164" fontId="9" fillId="19" borderId="12" xfId="41" applyNumberFormat="1" applyFont="1" applyFill="1" applyBorder="1" applyAlignment="1" applyProtection="1">
      <alignment horizontal="center"/>
    </xf>
    <xf numFmtId="3" fontId="9" fillId="0" borderId="31" xfId="41" applyNumberFormat="1" applyFont="1" applyFill="1" applyBorder="1" applyAlignment="1" applyProtection="1">
      <alignment horizontal="center"/>
    </xf>
    <xf numFmtId="164" fontId="9" fillId="0" borderId="20" xfId="41" applyNumberFormat="1" applyFont="1" applyFill="1" applyBorder="1" applyAlignment="1" applyProtection="1">
      <alignment horizontal="center"/>
    </xf>
    <xf numFmtId="10" fontId="9" fillId="31" borderId="64" xfId="41" applyNumberFormat="1" applyFont="1" applyFill="1" applyBorder="1" applyAlignment="1" applyProtection="1">
      <alignment horizontal="center"/>
    </xf>
    <xf numFmtId="3" fontId="9" fillId="31" borderId="71" xfId="41" applyNumberFormat="1" applyFont="1" applyFill="1" applyBorder="1" applyAlignment="1" applyProtection="1">
      <alignment horizontal="center"/>
    </xf>
    <xf numFmtId="0" fontId="49" fillId="26" borderId="3" xfId="41" applyFont="1" applyFill="1" applyBorder="1" applyProtection="1"/>
    <xf numFmtId="0" fontId="50" fillId="26" borderId="0" xfId="41" applyFont="1" applyFill="1" applyBorder="1" applyProtection="1"/>
    <xf numFmtId="166" fontId="50" fillId="26" borderId="0" xfId="41" applyNumberFormat="1" applyFont="1" applyFill="1" applyBorder="1" applyAlignment="1" applyProtection="1">
      <alignment horizontal="center"/>
    </xf>
    <xf numFmtId="166" fontId="4" fillId="26" borderId="0" xfId="41" applyNumberFormat="1" applyFont="1" applyFill="1" applyBorder="1" applyAlignment="1" applyProtection="1">
      <alignment horizontal="center"/>
    </xf>
    <xf numFmtId="3" fontId="4" fillId="26" borderId="0" xfId="41" applyNumberFormat="1" applyFont="1" applyFill="1" applyBorder="1" applyAlignment="1" applyProtection="1">
      <alignment horizontal="center"/>
    </xf>
    <xf numFmtId="164" fontId="4" fillId="26" borderId="0" xfId="41" applyNumberFormat="1" applyFont="1" applyFill="1" applyBorder="1" applyAlignment="1" applyProtection="1">
      <alignment horizontal="center"/>
    </xf>
    <xf numFmtId="164" fontId="4" fillId="31" borderId="65" xfId="41" applyNumberFormat="1" applyFont="1" applyFill="1" applyBorder="1" applyAlignment="1" applyProtection="1">
      <alignment horizontal="center"/>
    </xf>
    <xf numFmtId="164" fontId="4" fillId="31" borderId="4" xfId="41" applyNumberFormat="1" applyFont="1" applyFill="1" applyBorder="1" applyAlignment="1" applyProtection="1">
      <alignment horizontal="center"/>
    </xf>
    <xf numFmtId="0" fontId="12" fillId="31" borderId="30" xfId="1" applyFont="1" applyFill="1" applyBorder="1" applyAlignment="1" applyProtection="1">
      <alignment wrapText="1"/>
    </xf>
    <xf numFmtId="0" fontId="12" fillId="31" borderId="2" xfId="1" applyFont="1" applyFill="1" applyBorder="1" applyAlignment="1" applyProtection="1">
      <alignment wrapText="1"/>
    </xf>
    <xf numFmtId="0" fontId="12" fillId="26" borderId="0" xfId="41" applyFont="1" applyFill="1" applyProtection="1"/>
    <xf numFmtId="0" fontId="8" fillId="25" borderId="42" xfId="41" applyFont="1" applyFill="1" applyBorder="1" applyAlignment="1" applyProtection="1">
      <alignment horizontal="center" vertical="center" wrapText="1"/>
    </xf>
    <xf numFmtId="166" fontId="8" fillId="0" borderId="16" xfId="41" applyNumberFormat="1" applyFont="1" applyBorder="1" applyAlignment="1" applyProtection="1">
      <alignment horizontal="center" wrapText="1"/>
    </xf>
    <xf numFmtId="0" fontId="8" fillId="0" borderId="16" xfId="41" applyFont="1" applyBorder="1" applyAlignment="1" applyProtection="1">
      <alignment horizontal="center" wrapText="1"/>
    </xf>
    <xf numFmtId="3" fontId="8" fillId="0" borderId="18" xfId="41" applyNumberFormat="1" applyFont="1" applyBorder="1" applyAlignment="1" applyProtection="1">
      <alignment horizontal="center"/>
    </xf>
    <xf numFmtId="0" fontId="12" fillId="0" borderId="0" xfId="41" applyFont="1" applyFill="1" applyBorder="1" applyProtection="1"/>
    <xf numFmtId="0" fontId="9" fillId="0" borderId="31" xfId="41" applyFont="1" applyBorder="1" applyAlignment="1" applyProtection="1">
      <alignment horizontal="left"/>
    </xf>
    <xf numFmtId="164" fontId="48" fillId="19" borderId="12" xfId="41" applyNumberFormat="1" applyFill="1" applyBorder="1" applyAlignment="1" applyProtection="1">
      <alignment horizontal="right" wrapText="1"/>
    </xf>
    <xf numFmtId="1" fontId="12" fillId="0" borderId="12" xfId="41" applyNumberFormat="1" applyFont="1" applyFill="1" applyBorder="1" applyAlignment="1" applyProtection="1">
      <alignment horizontal="center"/>
    </xf>
    <xf numFmtId="3" fontId="48" fillId="0" borderId="19" xfId="41" applyNumberFormat="1" applyBorder="1" applyAlignment="1" applyProtection="1">
      <alignment horizontal="center"/>
    </xf>
    <xf numFmtId="3" fontId="48" fillId="31" borderId="64" xfId="41" applyNumberFormat="1" applyFill="1" applyBorder="1" applyAlignment="1" applyProtection="1">
      <alignment horizontal="center"/>
    </xf>
    <xf numFmtId="3" fontId="48" fillId="31" borderId="41" xfId="41" applyNumberFormat="1" applyFill="1" applyBorder="1" applyAlignment="1" applyProtection="1">
      <alignment horizontal="center"/>
    </xf>
    <xf numFmtId="0" fontId="9" fillId="0" borderId="31" xfId="41" applyFont="1" applyFill="1" applyBorder="1" applyAlignment="1" applyProtection="1">
      <alignment horizontal="left"/>
    </xf>
    <xf numFmtId="164" fontId="9" fillId="0" borderId="19" xfId="41" applyNumberFormat="1" applyFont="1" applyBorder="1" applyAlignment="1" applyProtection="1">
      <alignment horizontal="center"/>
    </xf>
    <xf numFmtId="0" fontId="9" fillId="0" borderId="31" xfId="41" applyFont="1" applyBorder="1" applyAlignment="1" applyProtection="1">
      <alignment horizontal="left" wrapText="1"/>
    </xf>
    <xf numFmtId="0" fontId="51" fillId="26" borderId="3" xfId="41" applyFont="1" applyFill="1" applyBorder="1" applyProtection="1"/>
    <xf numFmtId="0" fontId="52" fillId="26" borderId="0" xfId="41" applyFont="1" applyFill="1" applyBorder="1" applyProtection="1"/>
    <xf numFmtId="166" fontId="52" fillId="26" borderId="0" xfId="41" applyNumberFormat="1" applyFont="1" applyFill="1" applyBorder="1" applyProtection="1"/>
    <xf numFmtId="164" fontId="4" fillId="31" borderId="15" xfId="41" applyNumberFormat="1" applyFont="1" applyFill="1" applyBorder="1" applyAlignment="1" applyProtection="1">
      <alignment horizontal="center"/>
    </xf>
    <xf numFmtId="3" fontId="4" fillId="31" borderId="4" xfId="41" applyNumberFormat="1" applyFont="1" applyFill="1" applyBorder="1" applyAlignment="1" applyProtection="1">
      <alignment horizontal="center"/>
    </xf>
    <xf numFmtId="0" fontId="8" fillId="25" borderId="33" xfId="41" applyFont="1" applyFill="1" applyBorder="1" applyAlignment="1" applyProtection="1">
      <alignment horizontal="center" wrapText="1"/>
    </xf>
    <xf numFmtId="164" fontId="8" fillId="25" borderId="24" xfId="41" applyNumberFormat="1" applyFont="1" applyFill="1" applyBorder="1" applyAlignment="1" applyProtection="1">
      <alignment horizontal="center"/>
    </xf>
    <xf numFmtId="3" fontId="8" fillId="31" borderId="63" xfId="41" applyNumberFormat="1" applyFont="1" applyFill="1" applyBorder="1" applyAlignment="1" applyProtection="1">
      <alignment horizontal="center"/>
    </xf>
    <xf numFmtId="3" fontId="8" fillId="31" borderId="44" xfId="41" applyNumberFormat="1" applyFont="1" applyFill="1" applyBorder="1" applyAlignment="1" applyProtection="1">
      <alignment horizontal="center"/>
    </xf>
    <xf numFmtId="0" fontId="9" fillId="0" borderId="19" xfId="41" applyFont="1" applyBorder="1" applyAlignment="1" applyProtection="1">
      <alignment horizontal="center" wrapText="1"/>
    </xf>
    <xf numFmtId="164" fontId="9" fillId="19" borderId="20" xfId="41" applyNumberFormat="1" applyFont="1" applyFill="1" applyBorder="1" applyAlignment="1" applyProtection="1">
      <alignment horizontal="center"/>
    </xf>
    <xf numFmtId="0" fontId="4" fillId="25" borderId="36" xfId="41" applyFont="1" applyFill="1" applyBorder="1" applyAlignment="1" applyProtection="1">
      <alignment horizontal="center" vertical="center" wrapText="1"/>
    </xf>
    <xf numFmtId="0" fontId="4" fillId="25" borderId="10" xfId="41" applyFont="1" applyFill="1" applyBorder="1" applyAlignment="1" applyProtection="1">
      <alignment horizontal="center" vertical="center" wrapText="1"/>
    </xf>
    <xf numFmtId="3" fontId="8" fillId="25" borderId="12" xfId="41" applyNumberFormat="1" applyFont="1" applyFill="1" applyBorder="1" applyAlignment="1" applyProtection="1">
      <alignment horizontal="center" wrapText="1"/>
    </xf>
    <xf numFmtId="0" fontId="4" fillId="0" borderId="40" xfId="41" applyFont="1" applyBorder="1" applyAlignment="1" applyProtection="1">
      <alignment vertical="center" wrapText="1"/>
    </xf>
    <xf numFmtId="0" fontId="9" fillId="0" borderId="20" xfId="41" applyFont="1" applyBorder="1" applyAlignment="1" applyProtection="1">
      <alignment horizontal="center" wrapText="1"/>
    </xf>
    <xf numFmtId="3" fontId="12" fillId="0" borderId="0" xfId="41" applyNumberFormat="1" applyFont="1" applyProtection="1"/>
    <xf numFmtId="0" fontId="8" fillId="25" borderId="12" xfId="41" applyFont="1" applyFill="1" applyBorder="1" applyAlignment="1" applyProtection="1">
      <alignment horizontal="center" wrapText="1"/>
    </xf>
    <xf numFmtId="0" fontId="9" fillId="0" borderId="20" xfId="41" applyFont="1" applyBorder="1" applyAlignment="1" applyProtection="1">
      <alignment horizontal="center" vertical="center" wrapText="1"/>
    </xf>
    <xf numFmtId="0" fontId="48" fillId="19" borderId="31" xfId="41" applyNumberFormat="1" applyFill="1" applyBorder="1" applyAlignment="1" applyProtection="1"/>
    <xf numFmtId="164" fontId="9" fillId="0" borderId="19" xfId="41" applyNumberFormat="1" applyFont="1" applyFill="1" applyBorder="1" applyAlignment="1" applyProtection="1">
      <alignment horizontal="center"/>
    </xf>
    <xf numFmtId="164" fontId="9" fillId="31" borderId="64" xfId="41" applyNumberFormat="1" applyFont="1" applyFill="1" applyBorder="1" applyAlignment="1" applyProtection="1">
      <alignment horizontal="center"/>
    </xf>
    <xf numFmtId="164" fontId="9" fillId="31" borderId="41" xfId="41" applyNumberFormat="1" applyFont="1" applyFill="1" applyBorder="1" applyAlignment="1" applyProtection="1">
      <alignment horizontal="center"/>
    </xf>
    <xf numFmtId="0" fontId="48" fillId="0" borderId="19" xfId="41" applyBorder="1" applyAlignment="1" applyProtection="1">
      <alignment horizontal="left" wrapText="1"/>
    </xf>
    <xf numFmtId="166" fontId="9" fillId="31" borderId="64" xfId="41" applyNumberFormat="1" applyFont="1" applyFill="1" applyBorder="1" applyAlignment="1" applyProtection="1">
      <alignment horizontal="center"/>
    </xf>
    <xf numFmtId="166" fontId="9" fillId="31" borderId="41" xfId="41" applyNumberFormat="1" applyFont="1" applyFill="1" applyBorder="1" applyAlignment="1" applyProtection="1">
      <alignment horizontal="center"/>
    </xf>
    <xf numFmtId="0" fontId="12" fillId="0" borderId="19" xfId="41" applyFont="1" applyBorder="1" applyAlignment="1" applyProtection="1">
      <alignment horizontal="left" wrapText="1"/>
    </xf>
    <xf numFmtId="0" fontId="12" fillId="25" borderId="5" xfId="41" applyFont="1" applyFill="1" applyBorder="1" applyAlignment="1" applyProtection="1">
      <alignment horizontal="center" wrapText="1"/>
    </xf>
    <xf numFmtId="0" fontId="12" fillId="25" borderId="13" xfId="41" applyFont="1" applyFill="1" applyBorder="1" applyAlignment="1" applyProtection="1">
      <alignment horizontal="center" wrapText="1"/>
    </xf>
    <xf numFmtId="164" fontId="12" fillId="25" borderId="13" xfId="41" applyNumberFormat="1" applyFont="1" applyFill="1" applyBorder="1" applyAlignment="1" applyProtection="1">
      <alignment horizontal="center" wrapText="1"/>
    </xf>
    <xf numFmtId="3" fontId="8" fillId="31" borderId="39" xfId="41" applyNumberFormat="1" applyFont="1" applyFill="1" applyBorder="1" applyAlignment="1" applyProtection="1">
      <alignment horizontal="center" wrapText="1"/>
    </xf>
    <xf numFmtId="0" fontId="4" fillId="11" borderId="47" xfId="41" applyFont="1" applyFill="1" applyBorder="1" applyProtection="1"/>
    <xf numFmtId="0" fontId="8" fillId="11" borderId="48" xfId="41" applyFont="1" applyFill="1" applyBorder="1" applyProtection="1"/>
    <xf numFmtId="0" fontId="4" fillId="11" borderId="8" xfId="41" applyNumberFormat="1" applyFont="1" applyFill="1" applyBorder="1" applyAlignment="1" applyProtection="1">
      <alignment horizontal="center"/>
    </xf>
    <xf numFmtId="164" fontId="8" fillId="11" borderId="49" xfId="41" applyNumberFormat="1" applyFont="1" applyFill="1" applyBorder="1" applyAlignment="1" applyProtection="1"/>
    <xf numFmtId="164" fontId="8" fillId="11" borderId="49" xfId="41" applyNumberFormat="1" applyFont="1" applyFill="1" applyBorder="1" applyAlignment="1" applyProtection="1">
      <alignment horizontal="center"/>
    </xf>
    <xf numFmtId="164" fontId="4" fillId="11" borderId="8" xfId="41" applyNumberFormat="1" applyFont="1" applyFill="1" applyBorder="1" applyAlignment="1" applyProtection="1">
      <alignment horizontal="center"/>
    </xf>
    <xf numFmtId="10" fontId="4" fillId="31" borderId="9" xfId="41" applyNumberFormat="1" applyFont="1" applyFill="1" applyBorder="1" applyAlignment="1" applyProtection="1">
      <alignment horizontal="center"/>
    </xf>
    <xf numFmtId="3" fontId="4" fillId="31" borderId="14" xfId="41" applyNumberFormat="1" applyFont="1" applyFill="1" applyBorder="1" applyAlignment="1" applyProtection="1">
      <alignment horizontal="center"/>
    </xf>
    <xf numFmtId="0" fontId="12" fillId="0" borderId="30" xfId="41" applyFont="1" applyBorder="1" applyProtection="1"/>
    <xf numFmtId="164" fontId="48" fillId="0" borderId="30" xfId="41" applyNumberFormat="1" applyBorder="1" applyProtection="1"/>
    <xf numFmtId="3" fontId="48" fillId="0" borderId="30" xfId="41" applyNumberFormat="1" applyFill="1" applyBorder="1" applyProtection="1"/>
    <xf numFmtId="3" fontId="48" fillId="0" borderId="2" xfId="41" applyNumberFormat="1" applyFill="1" applyBorder="1" applyProtection="1"/>
    <xf numFmtId="0" fontId="9" fillId="0" borderId="3" xfId="41" applyFont="1" applyBorder="1" applyProtection="1"/>
    <xf numFmtId="164" fontId="48" fillId="0" borderId="0" xfId="41" applyNumberFormat="1" applyBorder="1" applyProtection="1"/>
    <xf numFmtId="3" fontId="48" fillId="0" borderId="4" xfId="41" applyNumberFormat="1" applyFill="1" applyBorder="1" applyProtection="1"/>
    <xf numFmtId="164" fontId="8" fillId="25" borderId="12" xfId="41" applyNumberFormat="1" applyFont="1" applyFill="1" applyBorder="1" applyAlignment="1" applyProtection="1">
      <alignment horizontal="center"/>
    </xf>
    <xf numFmtId="166" fontId="8" fillId="0" borderId="0" xfId="41" applyNumberFormat="1" applyFont="1" applyFill="1" applyBorder="1" applyAlignment="1" applyProtection="1">
      <alignment horizontal="center"/>
    </xf>
    <xf numFmtId="166" fontId="8" fillId="0" borderId="4" xfId="41" applyNumberFormat="1" applyFont="1" applyFill="1" applyBorder="1" applyAlignment="1" applyProtection="1">
      <alignment horizontal="center"/>
    </xf>
    <xf numFmtId="164" fontId="9" fillId="0" borderId="12" xfId="41" applyNumberFormat="1" applyFont="1" applyFill="1" applyBorder="1" applyAlignment="1" applyProtection="1">
      <alignment horizontal="center"/>
    </xf>
    <xf numFmtId="164" fontId="9" fillId="0" borderId="4" xfId="41" applyNumberFormat="1" applyFont="1" applyFill="1" applyBorder="1" applyAlignment="1" applyProtection="1">
      <alignment horizontal="center"/>
    </xf>
    <xf numFmtId="0" fontId="8" fillId="0" borderId="3" xfId="41" applyFont="1" applyBorder="1" applyAlignment="1" applyProtection="1">
      <alignment horizontal="left" vertical="center"/>
    </xf>
    <xf numFmtId="0" fontId="48" fillId="0" borderId="0" xfId="41" applyFill="1" applyBorder="1" applyAlignment="1" applyProtection="1">
      <alignment horizontal="left" wrapText="1"/>
    </xf>
    <xf numFmtId="0" fontId="48" fillId="0" borderId="0" xfId="41" applyFill="1" applyBorder="1" applyProtection="1"/>
    <xf numFmtId="164" fontId="48" fillId="0" borderId="0" xfId="41" applyNumberFormat="1" applyFill="1" applyBorder="1" applyAlignment="1" applyProtection="1"/>
    <xf numFmtId="1" fontId="9" fillId="0" borderId="0" xfId="41" applyNumberFormat="1" applyFont="1" applyFill="1" applyBorder="1" applyAlignment="1" applyProtection="1">
      <alignment horizontal="center"/>
    </xf>
    <xf numFmtId="0" fontId="8" fillId="25" borderId="45" xfId="41" applyFont="1" applyFill="1" applyBorder="1" applyAlignment="1" applyProtection="1">
      <alignment horizontal="center" vertical="center" wrapText="1"/>
    </xf>
    <xf numFmtId="0" fontId="8" fillId="25" borderId="12" xfId="41" applyFont="1" applyFill="1" applyBorder="1" applyAlignment="1" applyProtection="1">
      <alignment horizontal="center" vertical="center" wrapText="1"/>
    </xf>
    <xf numFmtId="166" fontId="9" fillId="0" borderId="0" xfId="41" applyNumberFormat="1" applyFont="1" applyFill="1" applyBorder="1" applyAlignment="1" applyProtection="1">
      <alignment horizontal="left"/>
    </xf>
    <xf numFmtId="166" fontId="9" fillId="0" borderId="4" xfId="41" applyNumberFormat="1" applyFont="1" applyFill="1" applyBorder="1" applyAlignment="1" applyProtection="1">
      <alignment horizontal="center"/>
    </xf>
    <xf numFmtId="0" fontId="12" fillId="23" borderId="0" xfId="23" applyFont="1" applyFill="1" applyProtection="1"/>
    <xf numFmtId="164" fontId="12" fillId="0" borderId="0" xfId="41" applyNumberFormat="1" applyFont="1" applyProtection="1"/>
    <xf numFmtId="0" fontId="8" fillId="0" borderId="3" xfId="41" applyFont="1" applyFill="1" applyBorder="1" applyAlignment="1" applyProtection="1">
      <alignment horizontal="center" vertical="center" wrapText="1"/>
    </xf>
    <xf numFmtId="0" fontId="8" fillId="0" borderId="0" xfId="41" applyFont="1" applyFill="1" applyBorder="1" applyAlignment="1" applyProtection="1">
      <alignment horizontal="center" vertical="center" wrapText="1"/>
    </xf>
    <xf numFmtId="3" fontId="4" fillId="32" borderId="8" xfId="1" applyNumberFormat="1" applyFont="1" applyFill="1" applyBorder="1" applyAlignment="1" applyProtection="1">
      <alignment horizontal="center"/>
    </xf>
    <xf numFmtId="0" fontId="4" fillId="26" borderId="3" xfId="41" applyFont="1" applyFill="1" applyBorder="1" applyProtection="1"/>
    <xf numFmtId="164" fontId="9" fillId="26" borderId="0" xfId="41" applyNumberFormat="1" applyFont="1" applyFill="1" applyBorder="1" applyAlignment="1" applyProtection="1"/>
    <xf numFmtId="0" fontId="9" fillId="26" borderId="0" xfId="41" applyFont="1" applyFill="1" applyBorder="1" applyAlignment="1" applyProtection="1">
      <alignment horizontal="center"/>
    </xf>
    <xf numFmtId="3" fontId="53" fillId="26" borderId="0" xfId="41" applyNumberFormat="1" applyFont="1" applyFill="1" applyBorder="1" applyAlignment="1" applyProtection="1">
      <alignment horizontal="center"/>
    </xf>
    <xf numFmtId="3" fontId="53" fillId="26" borderId="4" xfId="41" applyNumberFormat="1" applyFont="1" applyFill="1" applyBorder="1" applyAlignment="1" applyProtection="1">
      <alignment horizontal="center"/>
    </xf>
    <xf numFmtId="3" fontId="4" fillId="10" borderId="8" xfId="41" applyNumberFormat="1" applyFont="1" applyFill="1" applyBorder="1" applyAlignment="1" applyProtection="1">
      <alignment horizontal="center"/>
    </xf>
    <xf numFmtId="0" fontId="8" fillId="25" borderId="40" xfId="41" applyFont="1" applyFill="1" applyBorder="1" applyAlignment="1" applyProtection="1">
      <alignment horizontal="center" vertical="center" wrapText="1"/>
    </xf>
    <xf numFmtId="3" fontId="8" fillId="25" borderId="33" xfId="41" applyNumberFormat="1" applyFont="1" applyFill="1" applyBorder="1" applyAlignment="1" applyProtection="1">
      <alignment horizontal="center"/>
    </xf>
    <xf numFmtId="0" fontId="8" fillId="0" borderId="5" xfId="41" applyFont="1" applyBorder="1" applyAlignment="1" applyProtection="1">
      <alignment horizontal="left" vertical="center"/>
    </xf>
    <xf numFmtId="0" fontId="48" fillId="0" borderId="13" xfId="41" applyBorder="1" applyAlignment="1" applyProtection="1">
      <alignment horizontal="left" wrapText="1"/>
    </xf>
    <xf numFmtId="0" fontId="48" fillId="0" borderId="13" xfId="41" applyFill="1" applyBorder="1" applyProtection="1"/>
    <xf numFmtId="164" fontId="9" fillId="0" borderId="13" xfId="41" applyNumberFormat="1" applyFont="1" applyFill="1" applyBorder="1" applyAlignment="1" applyProtection="1">
      <alignment horizontal="center"/>
    </xf>
    <xf numFmtId="164" fontId="48" fillId="0" borderId="13" xfId="41" applyNumberFormat="1" applyFill="1" applyBorder="1" applyAlignment="1" applyProtection="1"/>
    <xf numFmtId="1" fontId="9" fillId="0" borderId="13" xfId="41" applyNumberFormat="1" applyFont="1" applyFill="1" applyBorder="1" applyAlignment="1" applyProtection="1">
      <alignment horizontal="center"/>
    </xf>
    <xf numFmtId="3" fontId="9" fillId="0" borderId="13" xfId="41" applyNumberFormat="1" applyFont="1" applyFill="1" applyBorder="1" applyAlignment="1" applyProtection="1">
      <alignment horizontal="center"/>
    </xf>
    <xf numFmtId="164" fontId="9" fillId="0" borderId="6" xfId="41" applyNumberFormat="1" applyFont="1" applyFill="1" applyBorder="1" applyAlignment="1" applyProtection="1">
      <alignment horizontal="center"/>
    </xf>
    <xf numFmtId="3" fontId="48" fillId="0" borderId="0" xfId="41" applyNumberFormat="1" applyFill="1" applyProtection="1"/>
    <xf numFmtId="3" fontId="48" fillId="0" borderId="0" xfId="41" applyNumberFormat="1" applyProtection="1"/>
    <xf numFmtId="0" fontId="12" fillId="0" borderId="0" xfId="0" applyNumberFormat="1" applyFont="1"/>
    <xf numFmtId="2" fontId="0" fillId="0" borderId="0" xfId="0" applyNumberFormat="1" applyAlignment="1">
      <alignment horizontal="center"/>
    </xf>
    <xf numFmtId="2" fontId="0" fillId="0" borderId="0" xfId="0" applyNumberFormat="1"/>
    <xf numFmtId="0" fontId="8" fillId="12" borderId="0" xfId="0" applyFont="1" applyFill="1" applyAlignment="1">
      <alignment wrapText="1"/>
    </xf>
    <xf numFmtId="0" fontId="12" fillId="0" borderId="0" xfId="0" applyNumberFormat="1" applyFont="1" applyFill="1" applyAlignment="1">
      <alignment horizontal="center" wrapText="1"/>
    </xf>
    <xf numFmtId="2" fontId="0" fillId="11" borderId="0" xfId="0" applyNumberFormat="1" applyFill="1" applyAlignment="1">
      <alignment horizontal="center" wrapText="1"/>
    </xf>
    <xf numFmtId="2" fontId="0" fillId="11" borderId="0" xfId="0" applyNumberFormat="1" applyFill="1" applyAlignment="1">
      <alignment wrapText="1"/>
    </xf>
    <xf numFmtId="2" fontId="0" fillId="12" borderId="0" xfId="0" applyNumberFormat="1" applyFill="1"/>
    <xf numFmtId="2" fontId="0" fillId="12" borderId="0" xfId="0" applyNumberFormat="1" applyFill="1" applyAlignment="1">
      <alignment horizontal="center" wrapText="1"/>
    </xf>
    <xf numFmtId="0" fontId="0" fillId="12" borderId="0" xfId="0" applyFill="1" applyAlignment="1">
      <alignment horizontal="center" wrapText="1"/>
    </xf>
    <xf numFmtId="0" fontId="0" fillId="23" borderId="0" xfId="0" applyFill="1" applyAlignment="1">
      <alignment horizontal="center" wrapText="1"/>
    </xf>
    <xf numFmtId="0" fontId="0" fillId="23" borderId="0" xfId="0" applyFill="1"/>
    <xf numFmtId="10" fontId="0" fillId="12" borderId="0" xfId="0" applyNumberFormat="1" applyFill="1" applyAlignment="1">
      <alignment horizontal="center" wrapText="1"/>
    </xf>
    <xf numFmtId="0" fontId="0" fillId="11" borderId="0" xfId="0" applyFill="1" applyAlignment="1">
      <alignment horizontal="center" wrapText="1"/>
    </xf>
    <xf numFmtId="0" fontId="0" fillId="11" borderId="0" xfId="0" applyFill="1"/>
    <xf numFmtId="0" fontId="0" fillId="0" borderId="0" xfId="0" applyFill="1" applyAlignment="1">
      <alignment horizontal="center" wrapText="1"/>
    </xf>
    <xf numFmtId="165" fontId="0" fillId="0" borderId="0" xfId="0" applyNumberFormat="1"/>
    <xf numFmtId="0" fontId="12" fillId="22" borderId="0" xfId="0" applyFont="1" applyFill="1"/>
    <xf numFmtId="0" fontId="12" fillId="22" borderId="0" xfId="0" applyNumberFormat="1" applyFont="1" applyFill="1"/>
    <xf numFmtId="0" fontId="12" fillId="5" borderId="0" xfId="0" applyFont="1" applyFill="1"/>
    <xf numFmtId="0" fontId="12" fillId="5" borderId="0" xfId="0" applyNumberFormat="1" applyFont="1" applyFill="1"/>
    <xf numFmtId="10" fontId="0" fillId="10" borderId="0" xfId="0" applyNumberFormat="1" applyFill="1"/>
    <xf numFmtId="0" fontId="12" fillId="37" borderId="0" xfId="0" applyFont="1" applyFill="1"/>
    <xf numFmtId="0" fontId="12" fillId="37" borderId="0" xfId="0" applyNumberFormat="1" applyFont="1" applyFill="1"/>
    <xf numFmtId="10" fontId="0" fillId="0" borderId="0" xfId="0" applyNumberFormat="1" applyFill="1"/>
    <xf numFmtId="2" fontId="8" fillId="0" borderId="0" xfId="0" applyNumberFormat="1" applyFont="1"/>
    <xf numFmtId="2" fontId="2" fillId="0" borderId="0" xfId="0" applyNumberFormat="1" applyFont="1"/>
    <xf numFmtId="10" fontId="2" fillId="0" borderId="0" xfId="0" applyNumberFormat="1" applyFont="1"/>
    <xf numFmtId="2" fontId="0" fillId="0" borderId="0" xfId="0" applyNumberFormat="1" applyFill="1" applyBorder="1" applyAlignment="1">
      <alignment horizontal="center"/>
    </xf>
    <xf numFmtId="0" fontId="30" fillId="0" borderId="0" xfId="1" applyNumberFormat="1" applyFont="1" applyFill="1" applyBorder="1" applyAlignment="1" applyProtection="1">
      <alignment horizontal="left"/>
    </xf>
    <xf numFmtId="0" fontId="30" fillId="0" borderId="0" xfId="1" applyNumberFormat="1" applyFont="1" applyFill="1" applyBorder="1" applyAlignment="1" applyProtection="1">
      <alignment horizontal="right"/>
    </xf>
    <xf numFmtId="2" fontId="0" fillId="0" borderId="0" xfId="0" applyNumberFormat="1" applyFill="1" applyBorder="1"/>
    <xf numFmtId="2" fontId="2" fillId="11" borderId="0" xfId="0" applyNumberFormat="1" applyFont="1" applyFill="1"/>
    <xf numFmtId="10" fontId="2" fillId="11" borderId="0" xfId="0" applyNumberFormat="1" applyFont="1" applyFill="1"/>
    <xf numFmtId="175" fontId="12" fillId="0" borderId="0" xfId="0" applyNumberFormat="1" applyFont="1"/>
    <xf numFmtId="175" fontId="0" fillId="0" borderId="0" xfId="0" applyNumberFormat="1" applyAlignment="1">
      <alignment horizontal="center"/>
    </xf>
    <xf numFmtId="10" fontId="12" fillId="0" borderId="0" xfId="0" applyNumberFormat="1" applyFont="1"/>
    <xf numFmtId="0" fontId="4" fillId="6" borderId="56" xfId="23" applyFont="1" applyFill="1" applyBorder="1" applyAlignment="1" applyProtection="1">
      <alignment horizontal="center"/>
    </xf>
    <xf numFmtId="3" fontId="8" fillId="0" borderId="0" xfId="1" applyNumberFormat="1" applyFont="1" applyBorder="1" applyAlignment="1">
      <alignment horizontal="center" vertical="center" wrapText="1"/>
    </xf>
    <xf numFmtId="3" fontId="43" fillId="0" borderId="0" xfId="1" applyNumberFormat="1" applyFont="1"/>
    <xf numFmtId="3" fontId="12" fillId="11" borderId="0" xfId="1" applyNumberFormat="1" applyFont="1" applyFill="1"/>
    <xf numFmtId="3" fontId="43" fillId="18" borderId="0" xfId="1" applyNumberFormat="1" applyFont="1" applyFill="1"/>
    <xf numFmtId="0" fontId="43" fillId="18" borderId="0" xfId="1" applyFont="1" applyFill="1"/>
    <xf numFmtId="166" fontId="8" fillId="25" borderId="33" xfId="41" applyNumberFormat="1" applyFont="1" applyFill="1" applyBorder="1" applyAlignment="1" applyProtection="1">
      <alignment horizontal="center"/>
    </xf>
    <xf numFmtId="0" fontId="4" fillId="32" borderId="7" xfId="41" applyFont="1" applyFill="1" applyBorder="1" applyAlignment="1" applyProtection="1">
      <alignment horizontal="left" wrapText="1"/>
    </xf>
    <xf numFmtId="0" fontId="4" fillId="32" borderId="8" xfId="41" applyFont="1" applyFill="1" applyBorder="1" applyAlignment="1" applyProtection="1">
      <alignment horizontal="left" wrapText="1"/>
    </xf>
    <xf numFmtId="0" fontId="4" fillId="10" borderId="7" xfId="41" applyFont="1" applyFill="1" applyBorder="1" applyAlignment="1" applyProtection="1">
      <alignment horizontal="left" wrapText="1"/>
    </xf>
    <xf numFmtId="0" fontId="4" fillId="10" borderId="8" xfId="41" applyFont="1" applyFill="1" applyBorder="1" applyAlignment="1" applyProtection="1">
      <alignment horizontal="left" wrapText="1"/>
    </xf>
    <xf numFmtId="0" fontId="4" fillId="21" borderId="0" xfId="41" applyFont="1" applyFill="1" applyBorder="1" applyAlignment="1" applyProtection="1">
      <alignment horizontal="center"/>
    </xf>
    <xf numFmtId="166" fontId="8" fillId="0" borderId="0" xfId="41" applyNumberFormat="1" applyFont="1" applyFill="1" applyBorder="1" applyAlignment="1" applyProtection="1">
      <alignment horizontal="center"/>
    </xf>
    <xf numFmtId="0" fontId="4" fillId="0" borderId="40" xfId="41" applyFont="1" applyBorder="1" applyAlignment="1" applyProtection="1">
      <alignment horizontal="left" vertical="center" wrapText="1"/>
    </xf>
    <xf numFmtId="0" fontId="4" fillId="0" borderId="46" xfId="41" applyFont="1" applyBorder="1" applyAlignment="1" applyProtection="1">
      <alignment horizontal="left" vertical="center" wrapText="1"/>
    </xf>
    <xf numFmtId="0" fontId="4" fillId="0" borderId="40" xfId="41" applyFont="1" applyFill="1" applyBorder="1" applyAlignment="1" applyProtection="1">
      <alignment horizontal="left" vertical="center"/>
    </xf>
    <xf numFmtId="0" fontId="4" fillId="0" borderId="43" xfId="41" applyFont="1" applyFill="1" applyBorder="1" applyAlignment="1" applyProtection="1">
      <alignment horizontal="left" vertical="center"/>
    </xf>
    <xf numFmtId="166" fontId="8" fillId="0" borderId="16" xfId="41" applyNumberFormat="1" applyFont="1" applyFill="1" applyBorder="1" applyAlignment="1" applyProtection="1">
      <alignment horizontal="center"/>
    </xf>
    <xf numFmtId="0" fontId="9" fillId="0" borderId="7" xfId="41" applyFont="1" applyFill="1" applyBorder="1" applyAlignment="1" applyProtection="1">
      <alignment horizontal="center"/>
    </xf>
    <xf numFmtId="0" fontId="9" fillId="0" borderId="8" xfId="41" applyFont="1" applyFill="1" applyBorder="1" applyAlignment="1" applyProtection="1">
      <alignment horizontal="center"/>
    </xf>
    <xf numFmtId="0" fontId="9" fillId="0" borderId="14" xfId="41" applyFont="1" applyFill="1" applyBorder="1" applyAlignment="1" applyProtection="1">
      <alignment horizontal="center"/>
    </xf>
    <xf numFmtId="0" fontId="4" fillId="4" borderId="7" xfId="23" applyFont="1" applyFill="1" applyBorder="1" applyAlignment="1" applyProtection="1">
      <alignment horizontal="center" vertical="center"/>
      <protection locked="0"/>
    </xf>
    <xf numFmtId="0" fontId="4" fillId="4" borderId="8" xfId="23" applyFont="1" applyFill="1" applyBorder="1" applyAlignment="1" applyProtection="1">
      <alignment horizontal="center" vertical="center"/>
      <protection locked="0"/>
    </xf>
    <xf numFmtId="0" fontId="4" fillId="4" borderId="14" xfId="23" applyFont="1" applyFill="1" applyBorder="1" applyAlignment="1" applyProtection="1">
      <alignment horizontal="center" vertical="center"/>
      <protection locked="0"/>
    </xf>
    <xf numFmtId="0" fontId="4" fillId="2" borderId="7" xfId="23" applyFont="1" applyFill="1" applyBorder="1" applyAlignment="1" applyProtection="1">
      <alignment horizontal="center" vertical="center" wrapText="1"/>
    </xf>
    <xf numFmtId="0" fontId="4" fillId="2" borderId="84" xfId="23" applyFont="1" applyFill="1" applyBorder="1" applyAlignment="1" applyProtection="1">
      <alignment horizontal="center" vertical="center" wrapText="1"/>
    </xf>
    <xf numFmtId="0" fontId="9" fillId="2" borderId="55" xfId="23" applyFont="1" applyFill="1" applyBorder="1" applyAlignment="1" applyProtection="1">
      <alignment horizontal="center" vertical="center"/>
    </xf>
    <xf numFmtId="166" fontId="8" fillId="25" borderId="50" xfId="41" applyNumberFormat="1" applyFont="1" applyFill="1" applyBorder="1" applyAlignment="1" applyProtection="1">
      <alignment horizontal="center"/>
    </xf>
    <xf numFmtId="0" fontId="9" fillId="0" borderId="7" xfId="41" applyFont="1" applyBorder="1" applyAlignment="1" applyProtection="1">
      <alignment horizontal="center"/>
    </xf>
    <xf numFmtId="0" fontId="9" fillId="0" borderId="8" xfId="41" applyFont="1" applyBorder="1" applyAlignment="1" applyProtection="1">
      <alignment horizontal="center"/>
    </xf>
    <xf numFmtId="0" fontId="9" fillId="0" borderId="14" xfId="41" applyFont="1" applyBorder="1" applyAlignment="1" applyProtection="1">
      <alignment horizontal="center"/>
    </xf>
    <xf numFmtId="0" fontId="4" fillId="33" borderId="30" xfId="41" applyFont="1" applyFill="1" applyBorder="1" applyAlignment="1" applyProtection="1">
      <alignment horizontal="center"/>
    </xf>
    <xf numFmtId="0" fontId="4" fillId="3" borderId="7" xfId="23" applyFont="1" applyFill="1" applyBorder="1" applyAlignment="1" applyProtection="1">
      <alignment horizontal="center" vertical="center"/>
    </xf>
    <xf numFmtId="0" fontId="4" fillId="3" borderId="8" xfId="23" applyFont="1" applyFill="1" applyBorder="1" applyAlignment="1" applyProtection="1">
      <alignment horizontal="center" vertical="center"/>
    </xf>
    <xf numFmtId="0" fontId="4" fillId="3" borderId="14" xfId="23" applyFont="1" applyFill="1" applyBorder="1" applyAlignment="1" applyProtection="1">
      <alignment horizontal="center" vertical="center"/>
    </xf>
    <xf numFmtId="0" fontId="4" fillId="0" borderId="0" xfId="41" applyFont="1" applyFill="1" applyBorder="1" applyAlignment="1" applyProtection="1">
      <alignment horizontal="center"/>
    </xf>
    <xf numFmtId="0" fontId="4" fillId="21" borderId="0" xfId="41" applyFont="1" applyFill="1" applyBorder="1" applyAlignment="1" applyProtection="1">
      <alignment horizontal="center" vertical="center"/>
    </xf>
    <xf numFmtId="0" fontId="4" fillId="0" borderId="40" xfId="41" applyFont="1" applyBorder="1" applyAlignment="1" applyProtection="1">
      <alignment horizontal="left" vertical="center"/>
    </xf>
    <xf numFmtId="0" fontId="4" fillId="0" borderId="42" xfId="41" applyFont="1" applyBorder="1" applyAlignment="1" applyProtection="1">
      <alignment horizontal="left" vertical="center"/>
    </xf>
    <xf numFmtId="0" fontId="4" fillId="0" borderId="43" xfId="41" applyFont="1" applyBorder="1" applyAlignment="1" applyProtection="1">
      <alignment horizontal="left" vertical="center"/>
    </xf>
    <xf numFmtId="164" fontId="4" fillId="32" borderId="8" xfId="1" applyNumberFormat="1" applyFont="1" applyFill="1" applyBorder="1" applyAlignment="1" applyProtection="1">
      <alignment horizontal="center"/>
    </xf>
    <xf numFmtId="164" fontId="4" fillId="32" borderId="14" xfId="1" applyNumberFormat="1" applyFont="1" applyFill="1" applyBorder="1" applyAlignment="1" applyProtection="1">
      <alignment horizontal="center"/>
    </xf>
    <xf numFmtId="164" fontId="4" fillId="10" borderId="8" xfId="41" applyNumberFormat="1" applyFont="1" applyFill="1" applyBorder="1" applyAlignment="1" applyProtection="1">
      <alignment horizontal="center"/>
    </xf>
    <xf numFmtId="164" fontId="4" fillId="10" borderId="14" xfId="41" applyNumberFormat="1" applyFont="1" applyFill="1" applyBorder="1" applyAlignment="1" applyProtection="1">
      <alignment horizontal="center"/>
    </xf>
    <xf numFmtId="3" fontId="8" fillId="31" borderId="63" xfId="41" applyNumberFormat="1" applyFont="1" applyFill="1" applyBorder="1" applyAlignment="1" applyProtection="1">
      <alignment horizontal="center" wrapText="1"/>
    </xf>
    <xf numFmtId="3" fontId="8" fillId="31" borderId="15" xfId="41" applyNumberFormat="1" applyFont="1" applyFill="1" applyBorder="1" applyAlignment="1" applyProtection="1">
      <alignment horizontal="center" wrapText="1"/>
    </xf>
    <xf numFmtId="3" fontId="8" fillId="31" borderId="65" xfId="41" applyNumberFormat="1" applyFont="1" applyFill="1" applyBorder="1" applyAlignment="1" applyProtection="1">
      <alignment horizontal="center" wrapText="1"/>
    </xf>
    <xf numFmtId="164" fontId="4" fillId="11" borderId="48" xfId="41" applyNumberFormat="1" applyFont="1" applyFill="1" applyBorder="1" applyAlignment="1" applyProtection="1">
      <alignment horizontal="center" vertical="center"/>
    </xf>
    <xf numFmtId="164" fontId="4" fillId="11" borderId="8" xfId="41" applyNumberFormat="1" applyFont="1" applyFill="1" applyBorder="1" applyAlignment="1" applyProtection="1">
      <alignment horizontal="center" vertical="center"/>
    </xf>
    <xf numFmtId="164" fontId="4" fillId="11" borderId="49" xfId="41" applyNumberFormat="1" applyFont="1" applyFill="1" applyBorder="1" applyAlignment="1" applyProtection="1">
      <alignment horizontal="center" vertical="center"/>
    </xf>
    <xf numFmtId="0" fontId="12" fillId="25" borderId="7" xfId="1" applyFont="1" applyFill="1" applyBorder="1" applyAlignment="1" applyProtection="1">
      <alignment horizontal="center" wrapText="1"/>
    </xf>
    <xf numFmtId="0" fontId="12" fillId="25" borderId="8" xfId="1" applyFont="1" applyFill="1" applyBorder="1" applyAlignment="1" applyProtection="1">
      <alignment horizontal="center" wrapText="1"/>
    </xf>
    <xf numFmtId="0" fontId="12" fillId="25" borderId="14" xfId="1" applyFont="1" applyFill="1" applyBorder="1" applyAlignment="1" applyProtection="1">
      <alignment horizontal="center" wrapText="1"/>
    </xf>
    <xf numFmtId="166" fontId="8" fillId="25" borderId="12" xfId="41" applyNumberFormat="1" applyFont="1" applyFill="1" applyBorder="1" applyAlignment="1" applyProtection="1">
      <alignment horizontal="center"/>
    </xf>
    <xf numFmtId="0" fontId="4" fillId="21" borderId="30" xfId="41" applyFont="1" applyFill="1" applyBorder="1" applyAlignment="1" applyProtection="1">
      <alignment horizontal="center" vertical="center"/>
    </xf>
    <xf numFmtId="166" fontId="8" fillId="25" borderId="76" xfId="41" applyNumberFormat="1" applyFont="1" applyFill="1" applyBorder="1" applyAlignment="1" applyProtection="1">
      <alignment horizontal="center"/>
    </xf>
    <xf numFmtId="0" fontId="4" fillId="0" borderId="42" xfId="41" applyFont="1" applyBorder="1" applyAlignment="1" applyProtection="1">
      <alignment horizontal="left" vertical="center" wrapText="1"/>
    </xf>
    <xf numFmtId="0" fontId="4" fillId="0" borderId="43" xfId="41" applyFont="1" applyBorder="1" applyAlignment="1" applyProtection="1">
      <alignment horizontal="left" vertical="center" wrapText="1"/>
    </xf>
    <xf numFmtId="0" fontId="9" fillId="0" borderId="7" xfId="41" applyFont="1" applyFill="1" applyBorder="1" applyAlignment="1">
      <alignment horizontal="center"/>
    </xf>
    <xf numFmtId="0" fontId="9" fillId="0" borderId="8" xfId="41" applyFont="1" applyFill="1" applyBorder="1" applyAlignment="1">
      <alignment horizontal="center"/>
    </xf>
    <xf numFmtId="0" fontId="9" fillId="0" borderId="14" xfId="41" applyFont="1" applyFill="1" applyBorder="1" applyAlignment="1">
      <alignment horizontal="center"/>
    </xf>
    <xf numFmtId="0" fontId="9" fillId="0" borderId="3" xfId="41" applyFont="1" applyBorder="1" applyAlignment="1">
      <alignment horizontal="center" vertical="center" wrapText="1"/>
    </xf>
    <xf numFmtId="0" fontId="9" fillId="0" borderId="4" xfId="41" applyFont="1" applyBorder="1" applyAlignment="1">
      <alignment horizontal="center" vertical="center" wrapText="1"/>
    </xf>
    <xf numFmtId="0" fontId="4" fillId="21" borderId="3" xfId="41" applyFont="1" applyFill="1" applyBorder="1" applyAlignment="1">
      <alignment horizontal="center"/>
    </xf>
    <xf numFmtId="0" fontId="4" fillId="21" borderId="0" xfId="41" applyFont="1" applyFill="1" applyBorder="1" applyAlignment="1">
      <alignment horizontal="center"/>
    </xf>
    <xf numFmtId="0" fontId="4" fillId="21" borderId="4" xfId="41" applyFont="1" applyFill="1" applyBorder="1" applyAlignment="1">
      <alignment horizontal="center"/>
    </xf>
    <xf numFmtId="0" fontId="4" fillId="0" borderId="3" xfId="41" applyFont="1" applyBorder="1" applyAlignment="1">
      <alignment horizontal="center"/>
    </xf>
    <xf numFmtId="0" fontId="4" fillId="0" borderId="4" xfId="41" applyFont="1" applyBorder="1" applyAlignment="1">
      <alignment horizontal="center"/>
    </xf>
    <xf numFmtId="3" fontId="40" fillId="0" borderId="0" xfId="0" applyNumberFormat="1" applyFont="1" applyFill="1" applyAlignment="1">
      <alignment horizontal="center"/>
    </xf>
    <xf numFmtId="0" fontId="40" fillId="0" borderId="0" xfId="0" applyFont="1" applyFill="1" applyAlignment="1">
      <alignment horizontal="center"/>
    </xf>
    <xf numFmtId="0" fontId="8" fillId="0" borderId="40" xfId="41" applyFont="1" applyBorder="1" applyAlignment="1">
      <alignment horizontal="left" vertical="center" wrapText="1"/>
    </xf>
    <xf numFmtId="0" fontId="8" fillId="0" borderId="42" xfId="41" applyFont="1" applyBorder="1" applyAlignment="1">
      <alignment horizontal="left" vertical="center" wrapText="1"/>
    </xf>
    <xf numFmtId="0" fontId="8" fillId="0" borderId="43" xfId="41" applyFont="1" applyBorder="1" applyAlignment="1">
      <alignment horizontal="left" vertical="center" wrapText="1"/>
    </xf>
    <xf numFmtId="3" fontId="0" fillId="0" borderId="0" xfId="0" applyNumberFormat="1" applyAlignment="1">
      <alignment horizontal="center"/>
    </xf>
    <xf numFmtId="10" fontId="0" fillId="0" borderId="0" xfId="0" applyNumberFormat="1" applyAlignment="1">
      <alignment horizontal="center"/>
    </xf>
    <xf numFmtId="3" fontId="0" fillId="0" borderId="3" xfId="0" applyNumberFormat="1" applyBorder="1" applyAlignment="1">
      <alignment horizontal="center"/>
    </xf>
    <xf numFmtId="3" fontId="0" fillId="0" borderId="0" xfId="0" applyNumberFormat="1" applyBorder="1" applyAlignment="1">
      <alignment horizontal="center"/>
    </xf>
    <xf numFmtId="10" fontId="0" fillId="0" borderId="0" xfId="0" applyNumberFormat="1" applyBorder="1" applyAlignment="1">
      <alignment horizontal="center"/>
    </xf>
    <xf numFmtId="4" fontId="0" fillId="0" borderId="18" xfId="0" applyNumberFormat="1" applyFill="1" applyBorder="1" applyAlignment="1">
      <alignment horizontal="center"/>
    </xf>
    <xf numFmtId="4" fontId="0" fillId="0" borderId="26" xfId="0" applyNumberFormat="1" applyFill="1" applyBorder="1" applyAlignment="1">
      <alignment horizontal="center"/>
    </xf>
    <xf numFmtId="4" fontId="0" fillId="0" borderId="27" xfId="0" applyNumberFormat="1" applyFill="1" applyBorder="1" applyAlignment="1">
      <alignment horizontal="center"/>
    </xf>
    <xf numFmtId="4" fontId="0" fillId="0" borderId="17" xfId="0" applyNumberFormat="1" applyFill="1" applyBorder="1" applyAlignment="1">
      <alignment horizontal="center"/>
    </xf>
    <xf numFmtId="0" fontId="0" fillId="0" borderId="0" xfId="0" applyNumberFormat="1" applyFill="1" applyAlignment="1">
      <alignment horizontal="center" wrapText="1"/>
    </xf>
    <xf numFmtId="3" fontId="30" fillId="0" borderId="0" xfId="0" applyNumberFormat="1" applyFont="1" applyFill="1" applyAlignment="1">
      <alignment horizontal="center"/>
    </xf>
    <xf numFmtId="0" fontId="30" fillId="0" borderId="0" xfId="0" applyFont="1" applyFill="1" applyAlignment="1">
      <alignment horizontal="center"/>
    </xf>
    <xf numFmtId="0" fontId="0" fillId="0" borderId="0" xfId="0" applyAlignment="1">
      <alignment horizontal="center"/>
    </xf>
    <xf numFmtId="0" fontId="0" fillId="0" borderId="0" xfId="0" applyNumberFormat="1" applyFill="1" applyBorder="1" applyAlignment="1">
      <alignment horizontal="center" wrapText="1"/>
    </xf>
    <xf numFmtId="0" fontId="0" fillId="12" borderId="0" xfId="0" applyNumberFormat="1" applyFill="1" applyAlignment="1">
      <alignment horizontal="center" wrapText="1"/>
    </xf>
    <xf numFmtId="4" fontId="0" fillId="0" borderId="0" xfId="0" applyNumberFormat="1" applyAlignment="1">
      <alignment horizontal="center"/>
    </xf>
    <xf numFmtId="0" fontId="4" fillId="0" borderId="7" xfId="1" applyFont="1" applyBorder="1" applyAlignment="1" applyProtection="1">
      <alignment horizontal="center"/>
    </xf>
    <xf numFmtId="0" fontId="4" fillId="0" borderId="8" xfId="1" applyFont="1" applyBorder="1" applyAlignment="1" applyProtection="1">
      <alignment horizontal="center"/>
    </xf>
    <xf numFmtId="0" fontId="12" fillId="0" borderId="14" xfId="1" applyBorder="1" applyAlignment="1"/>
    <xf numFmtId="0" fontId="16" fillId="0" borderId="0" xfId="1" applyFont="1" applyAlignment="1" applyProtection="1">
      <alignment horizontal="center"/>
      <protection hidden="1"/>
    </xf>
    <xf numFmtId="0" fontId="11" fillId="0" borderId="0" xfId="1" applyFont="1" applyAlignment="1" applyProtection="1">
      <alignment horizontal="center" vertical="center" wrapText="1"/>
      <protection hidden="1"/>
    </xf>
    <xf numFmtId="165" fontId="4" fillId="0" borderId="0" xfId="1" applyNumberFormat="1" applyFont="1" applyFill="1" applyAlignment="1" applyProtection="1"/>
    <xf numFmtId="0" fontId="12" fillId="0" borderId="0" xfId="1" applyAlignment="1"/>
    <xf numFmtId="0" fontId="4" fillId="0" borderId="7" xfId="1" applyFont="1" applyFill="1" applyBorder="1" applyAlignment="1" applyProtection="1">
      <alignment horizontal="center"/>
    </xf>
    <xf numFmtId="0" fontId="12" fillId="0" borderId="8" xfId="1" applyBorder="1" applyAlignment="1"/>
    <xf numFmtId="0" fontId="9" fillId="0" borderId="14" xfId="1" applyFont="1" applyBorder="1" applyAlignment="1">
      <alignment horizontal="center"/>
    </xf>
    <xf numFmtId="0" fontId="4" fillId="0" borderId="8" xfId="1" applyFont="1" applyBorder="1" applyAlignment="1">
      <alignment horizontal="center"/>
    </xf>
    <xf numFmtId="0" fontId="4" fillId="0" borderId="14" xfId="1" applyFont="1" applyBorder="1" applyAlignment="1">
      <alignment horizontal="center"/>
    </xf>
    <xf numFmtId="0" fontId="4" fillId="0" borderId="14" xfId="1" applyFont="1" applyBorder="1" applyAlignment="1" applyProtection="1">
      <alignment horizontal="center"/>
    </xf>
  </cellXfs>
  <cellStyles count="44">
    <cellStyle name="%" xfId="11"/>
    <cellStyle name="]_x000d__x000a_Zoomed=1_x000d__x000a_Row=0_x000d__x000a_Column=0_x000d__x000a_Height=0_x000d__x000a_Width=0_x000d__x000a_FontName=FoxFont_x000d__x000a_FontStyle=0_x000d__x000a_FontSize=9_x000d__x000a_PrtFontName=FoxPrin" xfId="3"/>
    <cellStyle name="Comma 2" xfId="12"/>
    <cellStyle name="Comma 3" xfId="13"/>
    <cellStyle name="Comma 4" xfId="14"/>
    <cellStyle name="Currency 2" xfId="15"/>
    <cellStyle name="Currency 3" xfId="16"/>
    <cellStyle name="Currency 4" xfId="17"/>
    <cellStyle name="Estimated" xfId="18"/>
    <cellStyle name="external input" xfId="19"/>
    <cellStyle name="Header" xfId="4"/>
    <cellStyle name="HeaderGrant" xfId="5"/>
    <cellStyle name="HeaderLEA" xfId="6"/>
    <cellStyle name="Imported" xfId="20"/>
    <cellStyle name="LEAName" xfId="7"/>
    <cellStyle name="LEANumber" xfId="8"/>
    <cellStyle name="log projection" xfId="21"/>
    <cellStyle name="Normal" xfId="0" builtinId="0"/>
    <cellStyle name="Normal 2" xfId="1"/>
    <cellStyle name="Normal 2 2" xfId="22"/>
    <cellStyle name="Normal 3" xfId="23"/>
    <cellStyle name="Normal 3 2" xfId="35"/>
    <cellStyle name="Normal 4" xfId="24"/>
    <cellStyle name="Normal 4 2" xfId="34"/>
    <cellStyle name="Normal 5" xfId="39"/>
    <cellStyle name="Normal 5 2" xfId="43"/>
    <cellStyle name="Normal 6" xfId="41"/>
    <cellStyle name="Normal_Book2" xfId="36"/>
    <cellStyle name="Normal_PVI Hours 2010-11" xfId="37"/>
    <cellStyle name="Normal_Sheet1" xfId="38"/>
    <cellStyle name="Normal_Sheet1 2" xfId="42"/>
    <cellStyle name="Normal_Sheet1_Early Years Formula Actual 2012-13" xfId="40"/>
    <cellStyle name="Number" xfId="9"/>
    <cellStyle name="Percent 2" xfId="2"/>
    <cellStyle name="Percent 2 2" xfId="10"/>
    <cellStyle name="Percent 3" xfId="25"/>
    <cellStyle name="provisional PN158/97" xfId="26"/>
    <cellStyle name="Style 1" xfId="27"/>
    <cellStyle name="sub" xfId="28"/>
    <cellStyle name="table imported" xfId="29"/>
    <cellStyle name="table sum" xfId="30"/>
    <cellStyle name="table values" xfId="31"/>
    <cellStyle name="u5shares" xfId="32"/>
    <cellStyle name="Variable assumptions" xfId="33"/>
  </cellStyles>
  <dxfs count="16">
    <dxf>
      <font>
        <b/>
        <i/>
        <condense val="0"/>
        <extend val="0"/>
        <color indexed="10"/>
      </font>
    </dxf>
    <dxf>
      <font>
        <b/>
        <i val="0"/>
        <condense val="0"/>
        <extend val="0"/>
      </font>
      <fill>
        <patternFill>
          <bgColor indexed="10"/>
        </patternFill>
      </fill>
    </dxf>
    <dxf>
      <font>
        <b val="0"/>
        <i val="0"/>
        <condense val="0"/>
        <extend val="0"/>
        <color indexed="10"/>
      </font>
      <fill>
        <patternFill>
          <bgColor indexed="13"/>
        </patternFill>
      </fill>
      <border>
        <left style="thin">
          <color indexed="64"/>
        </left>
        <right style="thin">
          <color indexed="64"/>
        </right>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rder>
    </dxf>
    <dxf>
      <font>
        <b/>
        <i val="0"/>
        <condense val="0"/>
        <extend val="0"/>
      </font>
      <fill>
        <patternFill>
          <bgColor indexed="10"/>
        </patternFill>
      </fill>
    </dxf>
    <dxf>
      <font>
        <b/>
        <i val="0"/>
        <condense val="0"/>
        <extend val="0"/>
        <color indexed="10"/>
      </font>
    </dxf>
    <dxf>
      <font>
        <b/>
        <i val="0"/>
        <condense val="0"/>
        <extend val="0"/>
        <color indexed="8"/>
      </font>
      <fill>
        <patternFill>
          <bgColor indexed="10"/>
        </patternFill>
      </fill>
    </dxf>
    <dxf>
      <font>
        <condense val="0"/>
        <extend val="0"/>
        <color indexed="22"/>
      </font>
      <fill>
        <patternFill>
          <bgColor indexed="22"/>
        </patternFill>
      </fill>
    </dxf>
    <dxf>
      <font>
        <condense val="0"/>
        <extend val="0"/>
        <color indexed="9"/>
      </font>
      <fill>
        <patternFill patternType="none">
          <bgColor indexed="65"/>
        </patternFill>
      </fill>
    </dxf>
    <dxf>
      <font>
        <b/>
        <i/>
        <condense val="0"/>
        <extend val="0"/>
        <color indexed="10"/>
      </font>
    </dxf>
    <dxf>
      <font>
        <b/>
        <i val="0"/>
        <condense val="0"/>
        <extend val="0"/>
        <color indexed="10"/>
      </font>
    </dxf>
    <dxf>
      <font>
        <condense val="0"/>
        <extend val="0"/>
        <color indexed="22"/>
      </font>
    </dxf>
    <dxf>
      <font>
        <condense val="0"/>
        <extend val="0"/>
        <color indexed="22"/>
      </font>
    </dxf>
    <dxf>
      <font>
        <b/>
        <i val="0"/>
        <condense val="0"/>
        <extend val="0"/>
        <color indexed="8"/>
      </font>
      <fill>
        <patternFill>
          <bgColor indexed="10"/>
        </patternFill>
      </fill>
    </dxf>
    <dxf>
      <font>
        <condense val="0"/>
        <extend val="0"/>
        <color indexed="22"/>
      </font>
    </dxf>
    <dxf>
      <font>
        <condense val="0"/>
        <extend val="0"/>
        <color indexed="22"/>
      </font>
      <fill>
        <patternFill patternType="solid">
          <bgColor indexed="22"/>
        </patternFill>
      </fill>
    </dxf>
  </dxfs>
  <tableStyles count="0" defaultTableStyle="TableStyleMedium2" defaultPivotStyle="PivotStyleLight16"/>
  <colors>
    <mruColors>
      <color rgb="FFE8F37B"/>
      <color rgb="FFC3A9BF"/>
      <color rgb="FFCD9FC4"/>
      <color rgb="FF72E5FC"/>
      <color rgb="FFF07ED2"/>
      <color rgb="FFFF6699"/>
      <color rgb="FF39E739"/>
      <color rgb="FFD9D9D7"/>
      <color rgb="FFFCD5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csdata/FINANCE/lms%20formula%20&amp;%20S52/2014-2015/2014-15%20October%20Submission/Proforma%20-%20Final%20V2.0/Derby_APT1415-18jun13-v1_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lms%20formula%20&amp;%20S52/2013-2014/Formula%20Funding%20Consultation/DFESXXX_831LLLL_S251B1213(1)%20VALUES%20ONLY%20FOR%20SUBMISSION%2029.3.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CENTRAL1\School%20Imp%20&amp;%20Inclusion\SENSS%20EDB\2003-04\Finance%20Planner%20-%20SENSS%202003-04%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c-fs03\educsdata\Budget%20Monitoring\STF\STF%202010-11\SSG%202008-11%20-%20SSG%20LA%20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3-14 submitted Baselines"/>
      <sheetName val="Input &amp; Adjustments"/>
      <sheetName val="Local Factor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row r="6">
          <cell r="BQ6" t="str">
            <v>School closed prior to 1 April 2014</v>
          </cell>
        </row>
        <row r="7">
          <cell r="BQ7" t="str">
            <v>New School opening prior to 1 April 2014</v>
          </cell>
        </row>
        <row r="8">
          <cell r="BQ8" t="str">
            <v>New School opening after 1 April 2014</v>
          </cell>
        </row>
        <row r="9">
          <cell r="BQ9" t="str">
            <v>Amalgamation of schools prior to 1 April 2014</v>
          </cell>
        </row>
        <row r="10">
          <cell r="BQ10" t="str">
            <v>Change in pupil numbers/factors</v>
          </cell>
        </row>
        <row r="11">
          <cell r="BQ11" t="str">
            <v>Conversion to academy status prior to 1 January 2014</v>
          </cell>
        </row>
        <row r="12">
          <cell r="BQ12" t="str">
            <v>Basic Needs Academy</v>
          </cell>
        </row>
        <row r="13">
          <cell r="BQ13" t="str">
            <v>Other</v>
          </cell>
        </row>
      </sheetData>
      <sheetData sheetId="5">
        <row r="5">
          <cell r="Z5">
            <v>0</v>
          </cell>
        </row>
      </sheetData>
      <sheetData sheetId="6"/>
      <sheetData sheetId="7"/>
      <sheetData sheetId="8"/>
      <sheetData sheetId="9">
        <row r="9">
          <cell r="E9" t="str">
            <v>No</v>
          </cell>
        </row>
        <row r="11">
          <cell r="E11">
            <v>2463.9300000000003</v>
          </cell>
          <cell r="L11">
            <v>8.2066725380455882E-2</v>
          </cell>
        </row>
        <row r="12">
          <cell r="E12">
            <v>3483.8</v>
          </cell>
          <cell r="L12">
            <v>5.8466808274489537E-2</v>
          </cell>
        </row>
        <row r="13">
          <cell r="E13">
            <v>3923.9</v>
          </cell>
          <cell r="L13">
            <v>5.1909239956845654E-2</v>
          </cell>
        </row>
        <row r="15">
          <cell r="D15" t="str">
            <v>FSM6 % Primary</v>
          </cell>
          <cell r="E15">
            <v>932.89</v>
          </cell>
          <cell r="L15">
            <v>0.4</v>
          </cell>
        </row>
        <row r="16">
          <cell r="D16" t="str">
            <v>FSM6 % Secondary</v>
          </cell>
          <cell r="F16">
            <v>714.41</v>
          </cell>
          <cell r="M16">
            <v>0.4</v>
          </cell>
        </row>
        <row r="17">
          <cell r="E17">
            <v>116.98</v>
          </cell>
          <cell r="F17">
            <v>92.81</v>
          </cell>
          <cell r="L17">
            <v>0.4</v>
          </cell>
          <cell r="M17">
            <v>0.4</v>
          </cell>
        </row>
        <row r="18">
          <cell r="E18">
            <v>234.2</v>
          </cell>
          <cell r="F18">
            <v>186.3</v>
          </cell>
          <cell r="L18">
            <v>0.4</v>
          </cell>
          <cell r="M18">
            <v>0.4</v>
          </cell>
        </row>
        <row r="19">
          <cell r="E19">
            <v>351.87</v>
          </cell>
          <cell r="F19">
            <v>279.36</v>
          </cell>
          <cell r="L19">
            <v>0.4</v>
          </cell>
          <cell r="M19">
            <v>0.4</v>
          </cell>
        </row>
        <row r="20">
          <cell r="E20">
            <v>469.09</v>
          </cell>
          <cell r="F20">
            <v>372.42</v>
          </cell>
          <cell r="L20">
            <v>0.4</v>
          </cell>
          <cell r="M20">
            <v>0.4</v>
          </cell>
        </row>
        <row r="21">
          <cell r="E21">
            <v>938.42</v>
          </cell>
          <cell r="F21">
            <v>745.51</v>
          </cell>
          <cell r="L21">
            <v>0.4</v>
          </cell>
          <cell r="M21">
            <v>0.4</v>
          </cell>
        </row>
        <row r="22">
          <cell r="E22">
            <v>938.42</v>
          </cell>
          <cell r="F22">
            <v>745.51</v>
          </cell>
          <cell r="L22">
            <v>0.4</v>
          </cell>
          <cell r="M22">
            <v>0.4</v>
          </cell>
        </row>
        <row r="24">
          <cell r="E24">
            <v>1185.1199999999999</v>
          </cell>
          <cell r="L24">
            <v>1</v>
          </cell>
        </row>
        <row r="25">
          <cell r="D25" t="str">
            <v>N/A</v>
          </cell>
        </row>
        <row r="26">
          <cell r="F26">
            <v>581.08000000000004</v>
          </cell>
          <cell r="M26">
            <v>1</v>
          </cell>
        </row>
        <row r="27">
          <cell r="D27" t="str">
            <v>EAL 3 Primary</v>
          </cell>
          <cell r="E27">
            <v>792.45</v>
          </cell>
          <cell r="L27">
            <v>0.45</v>
          </cell>
        </row>
        <row r="28">
          <cell r="D28" t="str">
            <v>EAL 3 Secondary</v>
          </cell>
          <cell r="F28">
            <v>2327.5700000000002</v>
          </cell>
          <cell r="M28">
            <v>0.45</v>
          </cell>
        </row>
        <row r="29">
          <cell r="E29">
            <v>979.33</v>
          </cell>
          <cell r="F29">
            <v>5823.33</v>
          </cell>
          <cell r="L29">
            <v>1</v>
          </cell>
          <cell r="M29">
            <v>1</v>
          </cell>
        </row>
        <row r="35">
          <cell r="E35">
            <v>100000</v>
          </cell>
          <cell r="G35">
            <v>150000</v>
          </cell>
          <cell r="L35">
            <v>0</v>
          </cell>
        </row>
        <row r="36">
          <cell r="E36">
            <v>0</v>
          </cell>
          <cell r="G36">
            <v>0</v>
          </cell>
          <cell r="L36">
            <v>0</v>
          </cell>
        </row>
        <row r="40">
          <cell r="L40">
            <v>0</v>
          </cell>
        </row>
        <row r="41">
          <cell r="L41">
            <v>0</v>
          </cell>
        </row>
        <row r="42">
          <cell r="L42">
            <v>0</v>
          </cell>
        </row>
        <row r="43">
          <cell r="L43">
            <v>0</v>
          </cell>
        </row>
        <row r="44">
          <cell r="L44">
            <v>0</v>
          </cell>
        </row>
        <row r="47">
          <cell r="L47">
            <v>0</v>
          </cell>
        </row>
        <row r="48">
          <cell r="L48">
            <v>0</v>
          </cell>
        </row>
        <row r="49">
          <cell r="L49">
            <v>0</v>
          </cell>
        </row>
        <row r="50">
          <cell r="L50">
            <v>0</v>
          </cell>
        </row>
        <row r="51">
          <cell r="L51">
            <v>0</v>
          </cell>
        </row>
        <row r="52">
          <cell r="L52">
            <v>0</v>
          </cell>
        </row>
        <row r="57">
          <cell r="J57" t="str">
            <v>Yes</v>
          </cell>
        </row>
        <row r="58">
          <cell r="D58">
            <v>0</v>
          </cell>
          <cell r="G58">
            <v>0</v>
          </cell>
        </row>
      </sheetData>
      <sheetData sheetId="10">
        <row r="8">
          <cell r="V8">
            <v>73.013413092534819</v>
          </cell>
        </row>
        <row r="9">
          <cell r="W9">
            <v>59.501067947573944</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1">
        <row r="5">
          <cell r="AC5">
            <v>9050000</v>
          </cell>
          <cell r="AD5">
            <v>0</v>
          </cell>
          <cell r="AE5">
            <v>0</v>
          </cell>
          <cell r="AF5">
            <v>19329.919999999998</v>
          </cell>
          <cell r="AG5">
            <v>1705581.59</v>
          </cell>
          <cell r="AH5">
            <v>1011061.4900000001</v>
          </cell>
          <cell r="AI5">
            <v>0</v>
          </cell>
          <cell r="AJ5">
            <v>0</v>
          </cell>
          <cell r="AK5">
            <v>0</v>
          </cell>
          <cell r="AL5">
            <v>0</v>
          </cell>
          <cell r="AM5">
            <v>0</v>
          </cell>
          <cell r="AN5">
            <v>0</v>
          </cell>
          <cell r="AO5">
            <v>0</v>
          </cell>
          <cell r="AS5">
            <v>17739483.207509585</v>
          </cell>
          <cell r="AU5">
            <v>73151351.207061008</v>
          </cell>
          <cell r="AV5">
            <v>60228091.900499485</v>
          </cell>
          <cell r="BB5">
            <v>2222814.5571497544</v>
          </cell>
        </row>
        <row r="6">
          <cell r="C6">
            <v>8312000</v>
          </cell>
        </row>
        <row r="7">
          <cell r="C7">
            <v>8312001</v>
          </cell>
        </row>
        <row r="8">
          <cell r="C8">
            <v>8312002</v>
          </cell>
        </row>
        <row r="9">
          <cell r="C9">
            <v>8312003</v>
          </cell>
        </row>
        <row r="10">
          <cell r="C10">
            <v>8312004</v>
          </cell>
        </row>
        <row r="11">
          <cell r="C11">
            <v>8312005</v>
          </cell>
        </row>
        <row r="12">
          <cell r="C12">
            <v>8312006</v>
          </cell>
        </row>
        <row r="13">
          <cell r="C13">
            <v>8312400</v>
          </cell>
        </row>
        <row r="14">
          <cell r="C14">
            <v>8312405</v>
          </cell>
        </row>
        <row r="15">
          <cell r="C15">
            <v>8312409</v>
          </cell>
        </row>
        <row r="16">
          <cell r="C16">
            <v>8312420</v>
          </cell>
        </row>
        <row r="17">
          <cell r="C17">
            <v>8312423</v>
          </cell>
        </row>
        <row r="18">
          <cell r="C18">
            <v>8312424</v>
          </cell>
        </row>
        <row r="19">
          <cell r="C19">
            <v>8312429</v>
          </cell>
        </row>
        <row r="20">
          <cell r="C20">
            <v>8312430</v>
          </cell>
        </row>
        <row r="21">
          <cell r="C21">
            <v>8312432</v>
          </cell>
        </row>
        <row r="22">
          <cell r="C22">
            <v>8312433</v>
          </cell>
        </row>
        <row r="23">
          <cell r="C23">
            <v>8312434</v>
          </cell>
        </row>
        <row r="24">
          <cell r="C24">
            <v>8312436</v>
          </cell>
        </row>
        <row r="25">
          <cell r="C25">
            <v>8312439</v>
          </cell>
        </row>
        <row r="26">
          <cell r="C26">
            <v>8312440</v>
          </cell>
        </row>
        <row r="27">
          <cell r="C27">
            <v>8312442</v>
          </cell>
        </row>
        <row r="28">
          <cell r="C28">
            <v>8312443</v>
          </cell>
        </row>
        <row r="29">
          <cell r="C29">
            <v>8312444</v>
          </cell>
        </row>
        <row r="30">
          <cell r="C30">
            <v>8312446</v>
          </cell>
        </row>
        <row r="31">
          <cell r="C31">
            <v>8312447</v>
          </cell>
        </row>
        <row r="32">
          <cell r="C32">
            <v>8312448</v>
          </cell>
        </row>
        <row r="33">
          <cell r="C33">
            <v>8312449</v>
          </cell>
        </row>
        <row r="34">
          <cell r="C34">
            <v>8312451</v>
          </cell>
        </row>
        <row r="35">
          <cell r="C35">
            <v>8312452</v>
          </cell>
        </row>
        <row r="36">
          <cell r="C36">
            <v>8312455</v>
          </cell>
        </row>
        <row r="37">
          <cell r="C37">
            <v>8312456</v>
          </cell>
        </row>
        <row r="38">
          <cell r="C38">
            <v>8312457</v>
          </cell>
        </row>
        <row r="39">
          <cell r="C39">
            <v>8312458</v>
          </cell>
        </row>
        <row r="40">
          <cell r="C40">
            <v>8312459</v>
          </cell>
        </row>
        <row r="41">
          <cell r="C41">
            <v>8312462</v>
          </cell>
        </row>
        <row r="42">
          <cell r="C42">
            <v>8312463</v>
          </cell>
        </row>
        <row r="43">
          <cell r="C43">
            <v>8312464</v>
          </cell>
        </row>
        <row r="44">
          <cell r="C44">
            <v>8312466</v>
          </cell>
        </row>
        <row r="45">
          <cell r="C45">
            <v>8312467</v>
          </cell>
        </row>
        <row r="46">
          <cell r="C46">
            <v>8312469</v>
          </cell>
        </row>
        <row r="47">
          <cell r="C47">
            <v>8312471</v>
          </cell>
        </row>
        <row r="48">
          <cell r="C48">
            <v>8312473</v>
          </cell>
        </row>
        <row r="49">
          <cell r="C49">
            <v>8312505</v>
          </cell>
        </row>
        <row r="50">
          <cell r="C50">
            <v>8312509</v>
          </cell>
        </row>
        <row r="51">
          <cell r="C51">
            <v>8312512</v>
          </cell>
        </row>
        <row r="52">
          <cell r="C52">
            <v>8312515</v>
          </cell>
        </row>
        <row r="53">
          <cell r="C53">
            <v>8312518</v>
          </cell>
        </row>
        <row r="54">
          <cell r="C54">
            <v>8312522</v>
          </cell>
        </row>
        <row r="55">
          <cell r="C55">
            <v>8312619</v>
          </cell>
        </row>
        <row r="56">
          <cell r="C56">
            <v>8312627</v>
          </cell>
        </row>
        <row r="57">
          <cell r="C57">
            <v>8312629</v>
          </cell>
        </row>
        <row r="58">
          <cell r="C58">
            <v>8313158</v>
          </cell>
        </row>
        <row r="59">
          <cell r="C59">
            <v>8313525</v>
          </cell>
        </row>
        <row r="60">
          <cell r="C60">
            <v>8313526</v>
          </cell>
        </row>
        <row r="61">
          <cell r="C61">
            <v>8313528</v>
          </cell>
        </row>
        <row r="62">
          <cell r="C62">
            <v>8313530</v>
          </cell>
        </row>
        <row r="63">
          <cell r="C63">
            <v>8313532</v>
          </cell>
        </row>
        <row r="64">
          <cell r="C64">
            <v>8313534</v>
          </cell>
        </row>
        <row r="65">
          <cell r="C65">
            <v>8313535</v>
          </cell>
        </row>
        <row r="66">
          <cell r="C66">
            <v>8313542</v>
          </cell>
        </row>
        <row r="67">
          <cell r="C67">
            <v>8313543</v>
          </cell>
        </row>
        <row r="68">
          <cell r="C68">
            <v>8313544</v>
          </cell>
        </row>
        <row r="69">
          <cell r="C69">
            <v>8313546</v>
          </cell>
        </row>
        <row r="70">
          <cell r="C70">
            <v>8315201</v>
          </cell>
        </row>
        <row r="71">
          <cell r="C71">
            <v>8315203</v>
          </cell>
        </row>
        <row r="72">
          <cell r="C72">
            <v>8315209</v>
          </cell>
        </row>
        <row r="73">
          <cell r="C73">
            <v>8314158</v>
          </cell>
        </row>
        <row r="74">
          <cell r="C74">
            <v>8314177</v>
          </cell>
        </row>
        <row r="75">
          <cell r="C75">
            <v>8314178</v>
          </cell>
        </row>
        <row r="76">
          <cell r="C76">
            <v>8314182</v>
          </cell>
        </row>
        <row r="77">
          <cell r="C77">
            <v>8314608</v>
          </cell>
        </row>
        <row r="78">
          <cell r="C78">
            <v>8314609</v>
          </cell>
        </row>
        <row r="79">
          <cell r="C79">
            <v>8315406</v>
          </cell>
        </row>
        <row r="80">
          <cell r="C80">
            <v>8315407</v>
          </cell>
        </row>
        <row r="81">
          <cell r="C81">
            <v>8312007</v>
          </cell>
        </row>
        <row r="82">
          <cell r="C82">
            <v>8312008</v>
          </cell>
        </row>
        <row r="83">
          <cell r="C83">
            <v>8312009</v>
          </cell>
        </row>
        <row r="84">
          <cell r="C84">
            <v>8313531</v>
          </cell>
        </row>
        <row r="85">
          <cell r="C85">
            <v>8314181</v>
          </cell>
        </row>
        <row r="86">
          <cell r="C86">
            <v>8314607</v>
          </cell>
        </row>
        <row r="87">
          <cell r="C87">
            <v>8315402</v>
          </cell>
        </row>
        <row r="88">
          <cell r="C88">
            <v>8315412</v>
          </cell>
        </row>
        <row r="89">
          <cell r="C89">
            <v>8315414</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lines"/>
      <sheetName val="Budgets to delegate"/>
      <sheetName val="lines to delegate"/>
      <sheetName val="CoverSheet"/>
      <sheetName val="LATable"/>
      <sheetName val="SchoolTable"/>
    </sheetNames>
    <sheetDataSet>
      <sheetData sheetId="0"/>
      <sheetData sheetId="1">
        <row r="10">
          <cell r="Q10">
            <v>158406</v>
          </cell>
        </row>
      </sheetData>
      <sheetData sheetId="2"/>
      <sheetData sheetId="3"/>
      <sheetData sheetId="4"/>
      <sheetData sheetId="5">
        <row r="5">
          <cell r="L5" t="str">
            <v>Unit Value Block</v>
          </cell>
          <cell r="CM5" t="str">
            <v xml:space="preserve">Additional Spend Block </v>
          </cell>
          <cell r="ER5" t="str">
            <v>Total Spend Block</v>
          </cell>
        </row>
        <row r="6">
          <cell r="G6" t="str">
            <v xml:space="preserve"> Early Years Pupils funded by the Early Years Single Funding Formula - base rates</v>
          </cell>
          <cell r="O6" t="str">
            <v>Funding Provided above the F E in Maintained Providers</v>
          </cell>
          <cell r="U6" t="str">
            <v xml:space="preserve"> Primary : Funding for children admitted to school and in reception classes: pupils funded by year/age groups  -  age-weighted funding primary schools</v>
          </cell>
          <cell r="AM6" t="str">
            <v>SECONDARY:Funding for children admitted to school and in reception classes:  Pupils funded by year/age groups  -  age-weighted funding Secondary schools</v>
          </cell>
          <cell r="BE6" t="str">
            <v>SPECIAL: Place-led funding</v>
          </cell>
          <cell r="BS6" t="str">
            <v>Early Years Specific Factors</v>
          </cell>
          <cell r="CF6" t="str">
            <v>Additional Pupil Led Funding</v>
          </cell>
          <cell r="CN6" t="str">
            <v xml:space="preserve">EFA funding </v>
          </cell>
          <cell r="CQ6" t="str">
            <v>AEN-Learning needs associated with EAL</v>
          </cell>
          <cell r="CU6" t="str">
            <v>Individually assigned resources</v>
          </cell>
          <cell r="CX6" t="str">
            <v>Funding for designated special classes and units</v>
          </cell>
          <cell r="DA6" t="str">
            <v>All other SEN funding</v>
          </cell>
          <cell r="DD6" t="str">
            <v xml:space="preserve">AEN - Including other learning and social needs </v>
          </cell>
          <cell r="DJ6" t="str">
            <v>Premises factors - general</v>
          </cell>
          <cell r="DR6" t="str">
            <v>Premises factors - exceptional circumstances</v>
          </cell>
          <cell r="DY6" t="str">
            <v>School-specific factors - general</v>
          </cell>
          <cell r="EC6" t="str">
            <v>School-specific factors - exceptional circumstances</v>
          </cell>
          <cell r="EF6" t="str">
            <v>Historical grants factors</v>
          </cell>
          <cell r="EI6" t="str">
            <v>Budget adjustments</v>
          </cell>
          <cell r="EV6" t="str">
            <v>MFG Variation Applied</v>
          </cell>
          <cell r="EY6" t="str">
            <v>Other</v>
          </cell>
        </row>
        <row r="7">
          <cell r="G7" t="str">
            <v>Maintained Nursery</v>
          </cell>
          <cell r="H7" t="str">
            <v>School Based Nursery</v>
          </cell>
          <cell r="I7" t="str">
            <v>PVI Pre School Nursery</v>
          </cell>
          <cell r="J7" t="str">
            <v>PVI Day Nursery</v>
          </cell>
          <cell r="L7" t="str">
            <v>Total Early Years
 age-weighted funding</v>
          </cell>
          <cell r="M7" t="str">
            <v>Total estimated hours used in budgets</v>
          </cell>
          <cell r="N7" t="str">
            <v>Total Early Years FTE</v>
          </cell>
          <cell r="S7" t="str">
            <v>Total Additional Funding Provided above the FE in maintained providers</v>
          </cell>
          <cell r="T7" t="str">
            <v>Total estimated additional hours used in budgets</v>
          </cell>
          <cell r="U7" t="str">
            <v>Reception</v>
          </cell>
          <cell r="Y7" t="str">
            <v>Key Stage 1 -Year 1</v>
          </cell>
          <cell r="Z7" t="str">
            <v>Key Stage 1 -Year 2</v>
          </cell>
          <cell r="AA7" t="str">
            <v>Key Stage 2 -Year 3</v>
          </cell>
          <cell r="AB7" t="str">
            <v>Key Stage 2 -Year 4</v>
          </cell>
          <cell r="AC7" t="str">
            <v>Key Stage 2 -Year 5</v>
          </cell>
          <cell r="AD7" t="str">
            <v>Key Stage 2 -Year 6</v>
          </cell>
          <cell r="AK7" t="str">
            <v>Total Primary
age-weighted funding</v>
          </cell>
          <cell r="AL7" t="str">
            <v>Total Primary FTE</v>
          </cell>
          <cell r="AW7" t="str">
            <v>Key Stage 3 -Year 7</v>
          </cell>
          <cell r="AX7" t="str">
            <v>Key Stage 3 -Year 8</v>
          </cell>
          <cell r="AY7" t="str">
            <v>Key Stage 3 -Year 9</v>
          </cell>
          <cell r="AZ7" t="str">
            <v>Key Stage 4 -Year 10</v>
          </cell>
          <cell r="BA7" t="str">
            <v>Key Stage 4 -Year 11</v>
          </cell>
          <cell r="BB7" t="str">
            <v>Retakes (Year 12+)</v>
          </cell>
          <cell r="BC7" t="str">
            <v>Total Secondary
age-weighted funding</v>
          </cell>
          <cell r="BD7" t="str">
            <v>Total Secondary FTE</v>
          </cell>
          <cell r="BE7" t="str">
            <v>Band 2 Y7+</v>
          </cell>
          <cell r="BF7" t="str">
            <v>Band 3 Y3-6</v>
          </cell>
          <cell r="BG7" t="str">
            <v>Band 3 Y7+</v>
          </cell>
          <cell r="BH7" t="str">
            <v>Band 4 Y1-2</v>
          </cell>
          <cell r="BI7" t="str">
            <v>Band 4 Y3-6</v>
          </cell>
          <cell r="BJ7" t="str">
            <v>Band 4 Y7+</v>
          </cell>
          <cell r="BK7" t="str">
            <v>Band 5 Y1-2</v>
          </cell>
          <cell r="BL7" t="str">
            <v>Band 5 Y3-6</v>
          </cell>
          <cell r="BM7" t="str">
            <v>Band 5 Y7+</v>
          </cell>
          <cell r="BN7" t="str">
            <v>Residential Band 4 7+</v>
          </cell>
          <cell r="BO7" t="str">
            <v>Residential Band 5 7+</v>
          </cell>
          <cell r="BP7" t="str">
            <v>Total Special Place-led funding</v>
          </cell>
          <cell r="BQ7" t="str">
            <v>Total Special FTE</v>
          </cell>
          <cell r="BS7" t="str">
            <v>Deprivation</v>
          </cell>
          <cell r="BT7" t="str">
            <v>Maintained Nursery Base</v>
          </cell>
          <cell r="BU7" t="str">
            <v>EAL</v>
          </cell>
          <cell r="BV7" t="str">
            <v>Retrospective Adjustment - TA Hours</v>
          </cell>
          <cell r="BW7" t="str">
            <v>Rates</v>
          </cell>
          <cell r="BX7" t="str">
            <v>Retrospective Adjustment - EYSFF</v>
          </cell>
          <cell r="BY7" t="str">
            <v>Individually Assigned Resources</v>
          </cell>
          <cell r="BZ7" t="str">
            <v>Vulnerable Children</v>
          </cell>
          <cell r="CA7" t="str">
            <v>PVI Funding Cap</v>
          </cell>
          <cell r="CB7" t="str">
            <v>Enhanced Resource School Funding</v>
          </cell>
          <cell r="CC7" t="str">
            <v>Minimum Funding Guarantee</v>
          </cell>
          <cell r="CD7" t="str">
            <v>Transitional Provision</v>
          </cell>
          <cell r="CE7" t="str">
            <v xml:space="preserve">Total Early Years Specific Factors </v>
          </cell>
          <cell r="CF7" t="str">
            <v>KS1 Alternative Funding Routes Class Based</v>
          </cell>
          <cell r="CI7" t="str">
            <v>Catering Free School Meals - Special Schools</v>
          </cell>
          <cell r="CJ7" t="str">
            <v>Insurance Pupil Numbers</v>
          </cell>
          <cell r="CK7" t="str">
            <v>Pupil Number Allocation</v>
          </cell>
          <cell r="CL7" t="str">
            <v>Catering Paid Meals</v>
          </cell>
          <cell r="CM7" t="str">
            <v>Total Additional Funding</v>
          </cell>
          <cell r="CN7" t="str">
            <v>EFA Grant Allocation Funding Sixth Form Pupils</v>
          </cell>
          <cell r="CO7" t="str">
            <v>EFA Teachers Pay Grant</v>
          </cell>
          <cell r="CP7" t="str">
            <v xml:space="preserve">Total EFA funding   </v>
          </cell>
          <cell r="CQ7" t="str">
            <v>Mobility SEN/EAL Factor</v>
          </cell>
          <cell r="CR7" t="str">
            <v>Access EAL</v>
          </cell>
          <cell r="CS7" t="str">
            <v>EAL Underachieving</v>
          </cell>
          <cell r="CT7" t="str">
            <v>Total AEN Learning needs associated with EAL</v>
          </cell>
          <cell r="CU7" t="str">
            <v>Named Pupil - Teaching Assistant Hours</v>
          </cell>
          <cell r="CV7" t="str">
            <v>Named Pupil - Children Out of Catchment Area Teaching Assistant Hours</v>
          </cell>
          <cell r="CW7" t="str">
            <v>Total Individually assigned resources</v>
          </cell>
          <cell r="CX7" t="str">
            <v>Enhanced Resource Schools</v>
          </cell>
          <cell r="CZ7" t="str">
            <v xml:space="preserve"> Total Funding for designated special classes and units</v>
          </cell>
          <cell r="DC7" t="str">
            <v>Total All other SEN funding</v>
          </cell>
          <cell r="DD7" t="str">
            <v>Social Deprivation</v>
          </cell>
          <cell r="DE7" t="str">
            <v>Index of Multiple Deprivation Funding</v>
          </cell>
          <cell r="DF7" t="str">
            <v>Vulnerable Children</v>
          </cell>
          <cell r="DG7" t="str">
            <v>Non-Statemented KS2 Prior Attainment</v>
          </cell>
          <cell r="DH7" t="str">
            <v>Inclusion</v>
          </cell>
          <cell r="DI7" t="str">
            <v>Total AEN - Including other learning and social needs</v>
          </cell>
          <cell r="DJ7" t="str">
            <v>Insurance</v>
          </cell>
          <cell r="DK7" t="str">
            <v>Rates</v>
          </cell>
          <cell r="DL7" t="str">
            <v>Maintenance - Assessed Need</v>
          </cell>
          <cell r="DM7" t="str">
            <v>Block Base Budget</v>
          </cell>
          <cell r="DN7" t="str">
            <v>Residential Base Budget</v>
          </cell>
          <cell r="DO7" t="str">
            <v>Floor Area - Special Schools</v>
          </cell>
          <cell r="DP7" t="str">
            <v>Pupil Density - Special Schools</v>
          </cell>
          <cell r="DQ7" t="str">
            <v>Total Premises factors - general</v>
          </cell>
          <cell r="DR7" t="str">
            <v>PFI Factor</v>
          </cell>
          <cell r="DS7" t="str">
            <v>PFI BSF Factor</v>
          </cell>
          <cell r="DT7" t="str">
            <v>PFI Utility Factor</v>
          </cell>
          <cell r="DU7" t="str">
            <v>Split Site Budget</v>
          </cell>
          <cell r="DV7" t="str">
            <v>Hydrotherapy Pool</v>
          </cell>
          <cell r="DW7" t="str">
            <v>Nursing - Special Schools</v>
          </cell>
          <cell r="DX7" t="str">
            <v>Total Premises factors - exceptional circumstances</v>
          </cell>
          <cell r="DY7" t="str">
            <v>Mobility - Pupil Turnover</v>
          </cell>
          <cell r="DZ7" t="str">
            <v>Admissions</v>
          </cell>
          <cell r="EA7" t="str">
            <v>Small School Protection</v>
          </cell>
          <cell r="EB7" t="str">
            <v>Total School-specific factors - general</v>
          </cell>
          <cell r="EE7" t="str">
            <v>Total School-specific factors - exceptional circumstances</v>
          </cell>
          <cell r="EH7" t="str">
            <v>Total Historical grants factors</v>
          </cell>
          <cell r="EI7" t="str">
            <v>Transitional provision</v>
          </cell>
          <cell r="EK7" t="str">
            <v>Abatement of Secondary Funding</v>
          </cell>
          <cell r="EL7" t="str">
            <v>Retrospective Adjustments - TA Hours</v>
          </cell>
          <cell r="EM7" t="str">
            <v>Retrospective Adjustments - ERS Places</v>
          </cell>
          <cell r="EO7" t="str">
            <v>Total budget adjustments</v>
          </cell>
          <cell r="EP7" t="str">
            <v xml:space="preserve">
Minimum Funding Guarantee</v>
          </cell>
          <cell r="EQ7" t="str">
            <v>Total Early Years funding</v>
          </cell>
          <cell r="ER7" t="str">
            <v xml:space="preserve">
Total Budget Share</v>
          </cell>
          <cell r="ES7" t="str">
            <v xml:space="preserve">  EFA numbers (Jan 2012)</v>
          </cell>
          <cell r="ET7" t="str">
            <v xml:space="preserve">
Total January 2012 Pupil Count (FTE registered pupils)</v>
          </cell>
          <cell r="EU7" t="str">
            <v xml:space="preserve"> £ per pupil</v>
          </cell>
          <cell r="EV7" t="str">
            <v>If a variation has been applied for any of your schools can you please provide more information in the description cell provided below</v>
          </cell>
          <cell r="EW7" t="str">
            <v>Pupil Premium Allocated to Schools</v>
          </cell>
          <cell r="EX7" t="str">
            <v xml:space="preserve">
Threshold and Performance Pay</v>
          </cell>
          <cell r="EY7" t="str">
            <v xml:space="preserve">
Support for Schools in Financial Difficulty</v>
          </cell>
          <cell r="EZ7" t="str">
            <v xml:space="preserve">
Notional SEN Budget</v>
          </cell>
        </row>
        <row r="8">
          <cell r="B8" t="str">
            <v>All Through Schools and Federated Indicator</v>
          </cell>
          <cell r="C8" t="str">
            <v>School name</v>
          </cell>
          <cell r="D8" t="str">
            <v xml:space="preserve"> DfE number</v>
          </cell>
          <cell r="E8" t="str">
            <v xml:space="preserve">
School Opening / Closing/ Converting</v>
          </cell>
          <cell r="F8" t="str">
            <v xml:space="preserve"> 
Date Opening / Closing</v>
          </cell>
          <cell r="BR8" t="str">
            <v xml:space="preserve">Additional Spend Block </v>
          </cell>
        </row>
        <row r="9">
          <cell r="G9" t="str">
            <v>HOURS</v>
          </cell>
          <cell r="H9" t="str">
            <v>HOURS</v>
          </cell>
          <cell r="I9" t="str">
            <v>HOURS</v>
          </cell>
          <cell r="J9" t="str">
            <v>HOURS</v>
          </cell>
          <cell r="K9" t="str">
            <v>HOURS</v>
          </cell>
          <cell r="L9" t="str">
            <v>£</v>
          </cell>
          <cell r="M9" t="str">
            <v>HOURS</v>
          </cell>
          <cell r="N9" t="str">
            <v>FTE</v>
          </cell>
          <cell r="O9" t="str">
            <v>HOURS</v>
          </cell>
          <cell r="P9" t="str">
            <v>HOURS</v>
          </cell>
          <cell r="Q9" t="str">
            <v>HOURS</v>
          </cell>
          <cell r="R9" t="str">
            <v>HOURS</v>
          </cell>
          <cell r="S9" t="str">
            <v>£</v>
          </cell>
          <cell r="T9" t="str">
            <v>HOURS</v>
          </cell>
          <cell r="U9" t="str">
            <v>PUPILS</v>
          </cell>
          <cell r="V9" t="str">
            <v>PUPILS</v>
          </cell>
          <cell r="W9" t="str">
            <v>PUPILS</v>
          </cell>
          <cell r="X9" t="str">
            <v>PUPILS</v>
          </cell>
          <cell r="Y9" t="str">
            <v>PUPILS</v>
          </cell>
          <cell r="Z9" t="str">
            <v>PUPILS</v>
          </cell>
          <cell r="AA9" t="str">
            <v>PUPILS</v>
          </cell>
          <cell r="AB9" t="str">
            <v>PUPILS</v>
          </cell>
          <cell r="AC9" t="str">
            <v>PUPILS</v>
          </cell>
          <cell r="AD9" t="str">
            <v>PUPILS</v>
          </cell>
          <cell r="AE9" t="str">
            <v>PUPILS</v>
          </cell>
          <cell r="AF9" t="str">
            <v>PUPILS</v>
          </cell>
          <cell r="AG9" t="str">
            <v>PUPILS</v>
          </cell>
          <cell r="AH9" t="str">
            <v>PUPILS</v>
          </cell>
          <cell r="AI9" t="str">
            <v>PUPILS</v>
          </cell>
          <cell r="AJ9" t="str">
            <v>PUPILS</v>
          </cell>
          <cell r="AL9" t="str">
            <v>FTE</v>
          </cell>
          <cell r="AM9" t="str">
            <v>PUPILS</v>
          </cell>
          <cell r="AN9" t="str">
            <v>PUPILS</v>
          </cell>
          <cell r="AO9" t="str">
            <v>PUPILS</v>
          </cell>
          <cell r="AP9" t="str">
            <v>PUPILS</v>
          </cell>
          <cell r="AQ9" t="str">
            <v>PUPILS</v>
          </cell>
          <cell r="AR9" t="str">
            <v>PUPILS</v>
          </cell>
          <cell r="AS9" t="str">
            <v>PUPILS</v>
          </cell>
          <cell r="AT9" t="str">
            <v>PUPILS</v>
          </cell>
          <cell r="AU9" t="str">
            <v>PUPILS</v>
          </cell>
          <cell r="AV9" t="str">
            <v>PUPILS</v>
          </cell>
          <cell r="AW9" t="str">
            <v>PUPILS</v>
          </cell>
          <cell r="AX9" t="str">
            <v>PUPILS</v>
          </cell>
          <cell r="AY9" t="str">
            <v>PUPILS</v>
          </cell>
          <cell r="AZ9" t="str">
            <v>PUPILS</v>
          </cell>
          <cell r="BA9" t="str">
            <v>PUPILS</v>
          </cell>
          <cell r="BB9" t="str">
            <v>PUPILS</v>
          </cell>
          <cell r="BD9" t="str">
            <v>FTE</v>
          </cell>
          <cell r="BE9" t="str">
            <v>PLACES</v>
          </cell>
          <cell r="BF9" t="str">
            <v>PLACES</v>
          </cell>
          <cell r="BG9" t="str">
            <v>PLACES</v>
          </cell>
          <cell r="BH9" t="str">
            <v>PLACES</v>
          </cell>
          <cell r="BI9" t="str">
            <v>PLACES</v>
          </cell>
          <cell r="BJ9" t="str">
            <v>PLACES</v>
          </cell>
          <cell r="BK9" t="str">
            <v>PLACES</v>
          </cell>
          <cell r="BL9" t="str">
            <v>PLACES</v>
          </cell>
          <cell r="BM9" t="str">
            <v>PLACES</v>
          </cell>
          <cell r="BN9" t="str">
            <v>PLACES</v>
          </cell>
          <cell r="BO9" t="str">
            <v>PLACES</v>
          </cell>
          <cell r="BQ9" t="str">
            <v>FTE</v>
          </cell>
          <cell r="BS9" t="str">
            <v>£</v>
          </cell>
          <cell r="BT9" t="str">
            <v>£</v>
          </cell>
          <cell r="BU9" t="str">
            <v>£</v>
          </cell>
          <cell r="BV9" t="str">
            <v>£</v>
          </cell>
          <cell r="BW9" t="str">
            <v>£</v>
          </cell>
          <cell r="BX9" t="str">
            <v>£</v>
          </cell>
          <cell r="BY9" t="str">
            <v>£</v>
          </cell>
          <cell r="BZ9" t="str">
            <v>£</v>
          </cell>
          <cell r="CA9" t="str">
            <v>£</v>
          </cell>
          <cell r="CB9" t="str">
            <v>£</v>
          </cell>
          <cell r="CC9" t="str">
            <v>£</v>
          </cell>
          <cell r="CD9" t="str">
            <v>£</v>
          </cell>
          <cell r="CE9" t="str">
            <v>£</v>
          </cell>
          <cell r="CF9" t="str">
            <v>£</v>
          </cell>
          <cell r="CG9" t="str">
            <v>£</v>
          </cell>
          <cell r="CH9" t="str">
            <v>£</v>
          </cell>
          <cell r="CI9" t="str">
            <v>£</v>
          </cell>
          <cell r="CJ9" t="str">
            <v>£</v>
          </cell>
          <cell r="CK9" t="str">
            <v>£</v>
          </cell>
          <cell r="CL9" t="str">
            <v>£</v>
          </cell>
          <cell r="CM9" t="str">
            <v>£</v>
          </cell>
          <cell r="CN9" t="str">
            <v>£</v>
          </cell>
          <cell r="CO9" t="str">
            <v>£</v>
          </cell>
          <cell r="CP9" t="str">
            <v>£</v>
          </cell>
          <cell r="CQ9" t="str">
            <v>£</v>
          </cell>
          <cell r="CR9" t="str">
            <v>£</v>
          </cell>
          <cell r="CS9" t="str">
            <v>£</v>
          </cell>
          <cell r="CT9" t="str">
            <v>£</v>
          </cell>
          <cell r="CU9" t="str">
            <v>£</v>
          </cell>
          <cell r="CV9" t="str">
            <v>£</v>
          </cell>
          <cell r="CW9" t="str">
            <v>£</v>
          </cell>
          <cell r="CX9" t="str">
            <v>£</v>
          </cell>
          <cell r="CY9" t="str">
            <v>£</v>
          </cell>
          <cell r="CZ9" t="str">
            <v>£</v>
          </cell>
          <cell r="DA9" t="str">
            <v>£</v>
          </cell>
          <cell r="DB9" t="str">
            <v>£</v>
          </cell>
          <cell r="DC9" t="str">
            <v>£</v>
          </cell>
          <cell r="DD9" t="str">
            <v>£</v>
          </cell>
          <cell r="DE9" t="str">
            <v>£</v>
          </cell>
          <cell r="DF9" t="str">
            <v>£</v>
          </cell>
          <cell r="DG9" t="str">
            <v>£</v>
          </cell>
          <cell r="DH9" t="str">
            <v>£</v>
          </cell>
          <cell r="DI9" t="str">
            <v>£</v>
          </cell>
          <cell r="DJ9" t="str">
            <v>£</v>
          </cell>
          <cell r="DK9" t="str">
            <v>£</v>
          </cell>
          <cell r="DL9" t="str">
            <v>£</v>
          </cell>
          <cell r="DM9" t="str">
            <v>£</v>
          </cell>
          <cell r="DN9" t="str">
            <v>£</v>
          </cell>
          <cell r="DO9" t="str">
            <v>£</v>
          </cell>
          <cell r="DP9" t="str">
            <v>£</v>
          </cell>
          <cell r="DQ9" t="str">
            <v>£</v>
          </cell>
          <cell r="DR9" t="str">
            <v>£</v>
          </cell>
          <cell r="DS9" t="str">
            <v>£</v>
          </cell>
          <cell r="DT9" t="str">
            <v>£</v>
          </cell>
          <cell r="DU9" t="str">
            <v>£</v>
          </cell>
          <cell r="DV9" t="str">
            <v>£</v>
          </cell>
          <cell r="DW9" t="str">
            <v>£</v>
          </cell>
          <cell r="DX9" t="str">
            <v>£</v>
          </cell>
          <cell r="DY9" t="str">
            <v>£</v>
          </cell>
          <cell r="DZ9" t="str">
            <v>£</v>
          </cell>
          <cell r="EA9" t="str">
            <v>£</v>
          </cell>
          <cell r="EB9" t="str">
            <v>£</v>
          </cell>
          <cell r="EC9" t="str">
            <v>£</v>
          </cell>
          <cell r="ED9" t="str">
            <v>£</v>
          </cell>
          <cell r="EE9" t="str">
            <v>£</v>
          </cell>
          <cell r="EF9" t="str">
            <v>£</v>
          </cell>
          <cell r="EG9" t="str">
            <v>£</v>
          </cell>
          <cell r="EH9" t="str">
            <v>£</v>
          </cell>
          <cell r="EI9" t="str">
            <v>£</v>
          </cell>
          <cell r="EJ9" t="str">
            <v>£</v>
          </cell>
          <cell r="EK9" t="str">
            <v>£</v>
          </cell>
          <cell r="EL9" t="str">
            <v>£</v>
          </cell>
          <cell r="EM9" t="str">
            <v>£</v>
          </cell>
          <cell r="EN9" t="str">
            <v>£</v>
          </cell>
          <cell r="EO9" t="str">
            <v>£</v>
          </cell>
        </row>
        <row r="10">
          <cell r="A10" t="str">
            <v>Column Status</v>
          </cell>
          <cell r="G10" t="str">
            <v>Include</v>
          </cell>
          <cell r="H10" t="str">
            <v>Include</v>
          </cell>
          <cell r="I10" t="str">
            <v>Include</v>
          </cell>
          <cell r="J10" t="str">
            <v>Include</v>
          </cell>
          <cell r="K10" t="str">
            <v>Exclude</v>
          </cell>
          <cell r="L10" t="str">
            <v>Group Total</v>
          </cell>
          <cell r="M10" t="str">
            <v>Group Total</v>
          </cell>
          <cell r="N10" t="str">
            <v>Group Total</v>
          </cell>
          <cell r="O10" t="str">
            <v>Exclude</v>
          </cell>
          <cell r="P10" t="str">
            <v>Exclude</v>
          </cell>
          <cell r="Q10" t="str">
            <v>Exclude</v>
          </cell>
          <cell r="R10" t="str">
            <v>Exclude</v>
          </cell>
          <cell r="S10" t="str">
            <v>Group Total</v>
          </cell>
          <cell r="T10" t="str">
            <v>Group Total</v>
          </cell>
          <cell r="U10" t="str">
            <v>Include</v>
          </cell>
          <cell r="V10" t="str">
            <v>Exclude</v>
          </cell>
          <cell r="W10" t="str">
            <v>Exclude</v>
          </cell>
          <cell r="X10" t="str">
            <v>Exclude</v>
          </cell>
          <cell r="Y10" t="str">
            <v>Include</v>
          </cell>
          <cell r="Z10" t="str">
            <v>Include</v>
          </cell>
          <cell r="AA10" t="str">
            <v>Include</v>
          </cell>
          <cell r="AB10" t="str">
            <v>Include</v>
          </cell>
          <cell r="AC10" t="str">
            <v>Include</v>
          </cell>
          <cell r="AD10" t="str">
            <v>Include</v>
          </cell>
          <cell r="AE10" t="str">
            <v>Exclude</v>
          </cell>
          <cell r="AF10" t="str">
            <v>Exclude</v>
          </cell>
          <cell r="AG10" t="str">
            <v>Exclude</v>
          </cell>
          <cell r="AH10" t="str">
            <v>Exclude</v>
          </cell>
          <cell r="AI10" t="str">
            <v>Exclude</v>
          </cell>
          <cell r="AJ10" t="str">
            <v>Exclude</v>
          </cell>
          <cell r="AK10" t="str">
            <v>Group Total</v>
          </cell>
          <cell r="AL10" t="str">
            <v>Group Total</v>
          </cell>
          <cell r="AM10" t="str">
            <v>Exclude</v>
          </cell>
          <cell r="AN10" t="str">
            <v>Exclude</v>
          </cell>
          <cell r="AO10" t="str">
            <v>Exclude</v>
          </cell>
          <cell r="AP10" t="str">
            <v>Exclude</v>
          </cell>
          <cell r="AQ10" t="str">
            <v>Exclude</v>
          </cell>
          <cell r="AR10" t="str">
            <v>Exclude</v>
          </cell>
          <cell r="AS10" t="str">
            <v>Exclude</v>
          </cell>
          <cell r="AT10" t="str">
            <v>Exclude</v>
          </cell>
          <cell r="AU10" t="str">
            <v>Exclude</v>
          </cell>
          <cell r="AV10" t="str">
            <v>Exclude</v>
          </cell>
          <cell r="AW10" t="str">
            <v>Include</v>
          </cell>
          <cell r="AX10" t="str">
            <v>Include</v>
          </cell>
          <cell r="AY10" t="str">
            <v>Include</v>
          </cell>
          <cell r="AZ10" t="str">
            <v>Include</v>
          </cell>
          <cell r="BA10" t="str">
            <v>Include</v>
          </cell>
          <cell r="BB10" t="str">
            <v>Include</v>
          </cell>
          <cell r="BC10" t="str">
            <v>Group Total</v>
          </cell>
          <cell r="BD10" t="str">
            <v>Group Total</v>
          </cell>
          <cell r="BE10" t="str">
            <v>Include</v>
          </cell>
          <cell r="BF10" t="str">
            <v>Include</v>
          </cell>
          <cell r="BG10" t="str">
            <v>Include</v>
          </cell>
          <cell r="BH10" t="str">
            <v>Include</v>
          </cell>
          <cell r="BI10" t="str">
            <v>Include</v>
          </cell>
          <cell r="BJ10" t="str">
            <v>Include</v>
          </cell>
          <cell r="BK10" t="str">
            <v>Include</v>
          </cell>
          <cell r="BL10" t="str">
            <v>Include</v>
          </cell>
          <cell r="BM10" t="str">
            <v>Include</v>
          </cell>
          <cell r="BN10" t="str">
            <v>Include</v>
          </cell>
          <cell r="BO10" t="str">
            <v>Include</v>
          </cell>
          <cell r="BP10" t="str">
            <v>Group Total</v>
          </cell>
          <cell r="BQ10" t="str">
            <v>Group Total</v>
          </cell>
          <cell r="BR10" t="str">
            <v>group total</v>
          </cell>
          <cell r="BS10" t="str">
            <v>Include</v>
          </cell>
          <cell r="BT10" t="str">
            <v>Include</v>
          </cell>
          <cell r="BU10" t="str">
            <v>Include</v>
          </cell>
          <cell r="BV10" t="str">
            <v>Include</v>
          </cell>
          <cell r="BW10" t="str">
            <v>Include</v>
          </cell>
          <cell r="BX10" t="str">
            <v>Include</v>
          </cell>
          <cell r="BY10" t="str">
            <v>Include</v>
          </cell>
          <cell r="BZ10" t="str">
            <v>Include</v>
          </cell>
          <cell r="CA10" t="str">
            <v>Include</v>
          </cell>
          <cell r="CB10" t="str">
            <v>Include</v>
          </cell>
          <cell r="CC10" t="str">
            <v>Include</v>
          </cell>
          <cell r="CD10" t="str">
            <v>Include</v>
          </cell>
          <cell r="CE10" t="str">
            <v>Group Total</v>
          </cell>
          <cell r="CF10" t="str">
            <v>Include</v>
          </cell>
          <cell r="CG10" t="str">
            <v>Exclude</v>
          </cell>
          <cell r="CH10" t="str">
            <v>Exclude</v>
          </cell>
          <cell r="CI10" t="str">
            <v>Include</v>
          </cell>
          <cell r="CJ10" t="str">
            <v>Include</v>
          </cell>
          <cell r="CK10" t="str">
            <v>Include</v>
          </cell>
          <cell r="CL10" t="str">
            <v>Include</v>
          </cell>
          <cell r="CM10" t="str">
            <v>Group Total</v>
          </cell>
          <cell r="CN10" t="str">
            <v>Include</v>
          </cell>
          <cell r="CO10" t="str">
            <v>Include</v>
          </cell>
          <cell r="CP10" t="str">
            <v>Group Total</v>
          </cell>
          <cell r="CQ10" t="str">
            <v>Include</v>
          </cell>
          <cell r="CR10" t="str">
            <v>Include</v>
          </cell>
          <cell r="CS10" t="str">
            <v>Include</v>
          </cell>
          <cell r="CT10" t="str">
            <v>Group Total</v>
          </cell>
          <cell r="CU10" t="str">
            <v>Include</v>
          </cell>
          <cell r="CV10" t="str">
            <v>Include</v>
          </cell>
          <cell r="CW10" t="str">
            <v>Group Total</v>
          </cell>
          <cell r="CX10" t="str">
            <v>Include</v>
          </cell>
          <cell r="CY10" t="str">
            <v>Exclude</v>
          </cell>
          <cell r="CZ10" t="str">
            <v>Group Total</v>
          </cell>
          <cell r="DA10" t="str">
            <v>Exclude</v>
          </cell>
          <cell r="DB10" t="str">
            <v>Exclude</v>
          </cell>
          <cell r="DC10" t="str">
            <v>Group Total</v>
          </cell>
          <cell r="DD10" t="str">
            <v>Include</v>
          </cell>
          <cell r="DE10" t="str">
            <v>Include</v>
          </cell>
          <cell r="DF10" t="str">
            <v>Include</v>
          </cell>
          <cell r="DG10" t="str">
            <v>Include</v>
          </cell>
          <cell r="DH10" t="str">
            <v>Include</v>
          </cell>
          <cell r="DI10" t="str">
            <v>Group Total</v>
          </cell>
          <cell r="DJ10" t="str">
            <v>Include</v>
          </cell>
          <cell r="DK10" t="str">
            <v>Include</v>
          </cell>
          <cell r="DL10" t="str">
            <v>Include</v>
          </cell>
          <cell r="DM10" t="str">
            <v>Include</v>
          </cell>
          <cell r="DN10" t="str">
            <v>Include</v>
          </cell>
          <cell r="DO10" t="str">
            <v>Include</v>
          </cell>
          <cell r="DP10" t="str">
            <v>Include</v>
          </cell>
          <cell r="DQ10" t="str">
            <v>Group Total</v>
          </cell>
          <cell r="DR10" t="str">
            <v>Include</v>
          </cell>
          <cell r="DS10" t="str">
            <v>Include</v>
          </cell>
          <cell r="DT10" t="str">
            <v>Include</v>
          </cell>
          <cell r="DU10" t="str">
            <v>Include</v>
          </cell>
          <cell r="DV10" t="str">
            <v>Include</v>
          </cell>
          <cell r="DW10" t="str">
            <v>Include</v>
          </cell>
          <cell r="DX10" t="str">
            <v>Group Total</v>
          </cell>
          <cell r="DY10" t="str">
            <v>Include</v>
          </cell>
          <cell r="DZ10" t="str">
            <v>Include</v>
          </cell>
          <cell r="EA10" t="str">
            <v>Include</v>
          </cell>
          <cell r="EB10" t="str">
            <v>Group Total</v>
          </cell>
          <cell r="EC10" t="str">
            <v>Exclude</v>
          </cell>
          <cell r="ED10" t="str">
            <v>Exclude</v>
          </cell>
          <cell r="EE10" t="str">
            <v>Group Total</v>
          </cell>
          <cell r="EF10" t="str">
            <v>Exclude</v>
          </cell>
          <cell r="EG10" t="str">
            <v>Exclude</v>
          </cell>
          <cell r="EH10" t="str">
            <v>Group Total</v>
          </cell>
          <cell r="EI10" t="str">
            <v>Include</v>
          </cell>
          <cell r="EJ10" t="str">
            <v>Exclude</v>
          </cell>
          <cell r="EK10" t="str">
            <v>Include</v>
          </cell>
          <cell r="EL10" t="str">
            <v>Include</v>
          </cell>
          <cell r="EM10" t="str">
            <v>Include</v>
          </cell>
          <cell r="EN10" t="str">
            <v>Exclude</v>
          </cell>
          <cell r="EO10" t="str">
            <v>Group Total</v>
          </cell>
        </row>
        <row r="11">
          <cell r="A11" t="str">
            <v>Methodology</v>
          </cell>
          <cell r="G11" t="str">
            <v>Maintained Nursery rate per hour obtained from costing exercise. Includes elements of buildings, and now elements of mainstreamed grants</v>
          </cell>
          <cell r="H11" t="str">
            <v>School based Nursery rate per hour obtained from costing exercise. Includes elements of buildings, and now elements of mainstreamed grants</v>
          </cell>
          <cell r="I11" t="str">
            <v xml:space="preserve">PVI Pre School average cost per hour from costing exercise </v>
          </cell>
          <cell r="J11" t="str">
            <v xml:space="preserve">PVI Day Nursery average cost per hour from costing exercise </v>
          </cell>
          <cell r="U11" t="str">
            <v>Pupils based on Jan 2012 Census by AWPU multiplier. This multiplier now includes an element of historical grants, as agreed after consultation with Schools Forum.</v>
          </cell>
          <cell r="Y11" t="str">
            <v>Pupils based on Jan 2012 Census by AWPU multiplier. This multiplier now includes an element of historical grants, as agreed after consultation with Schools Forum.</v>
          </cell>
          <cell r="Z11" t="str">
            <v>Pupils based on Jan 2012 Census by AWPU multiplier. This multiplier now includes an element of historical grants, as agreed after consultation with Schools Forum.</v>
          </cell>
          <cell r="AA11" t="str">
            <v>Pupils based on Jan 2012 Census by AWPU multiplier. This multiplier now includes an element of historical grants, as agreed after consultation with Schools Forum.</v>
          </cell>
          <cell r="AB11" t="str">
            <v>Pupils based on Jan 2012 Census by AWPU multiplier. This multiplier now includes an element of historical grants, as agreed after consultation with Schools Forum.</v>
          </cell>
          <cell r="AC11" t="str">
            <v>Pupils based on Jan 2012 Census by AWPU multiplier. This multiplier now includes an element of historical grants, as agreed after consultation with Schools Forum.</v>
          </cell>
          <cell r="AD11" t="str">
            <v>Pupils based on Jan 2012 Census by AWPU multiplier. This multiplier now includes an element of historical grants, as agreed after consultation with Schools Forum.</v>
          </cell>
          <cell r="AW11" t="str">
            <v>Pupils based on Jan 2012 Census by AWPU multiplier. This multiplier now includes an element of historical grants, as agreed after consultation with Schools Forum.</v>
          </cell>
          <cell r="AX11" t="str">
            <v>Pupils based on Jan 2012 Census by AWPU multiplier. This multiplier now includes an element of historical grants, as agreed after consultation with Schools Forum.</v>
          </cell>
          <cell r="AY11" t="str">
            <v>Pupils based on Jan 2012 Census by AWPU multiplier. This multiplier now includes an element of historical grants, as agreed after consultation with Schools Forum.</v>
          </cell>
          <cell r="AZ11" t="str">
            <v>Pupils based on Jan 2012 Census by AWPU multiplier. This multiplier now includes an element of historical grants, as agreed after consultation with Schools Forum.</v>
          </cell>
          <cell r="BA11" t="str">
            <v>Pupils based on Jan 2012 Census by AWPU multiplier. This multiplier now includes an element of historical grants, as agreed after consultation with Schools Forum.</v>
          </cell>
          <cell r="BB11" t="str">
            <v>Pupils based on Jan 2012 Census by AWPU multiplier. This multiplier now includes an element of historical grants, as agreed after consultation with Schools Forum.</v>
          </cell>
          <cell r="BE11" t="str">
            <v>An amount for each special needs place purchased by the LA</v>
          </cell>
          <cell r="BF11" t="str">
            <v>An amount for each special needs place purchased by the LA</v>
          </cell>
          <cell r="BG11" t="str">
            <v>An amount for each special needs place purchased by the LA</v>
          </cell>
          <cell r="BH11" t="str">
            <v>An amount for each special needs place purchased by the LA</v>
          </cell>
          <cell r="BI11" t="str">
            <v>An amount for each special needs place purchased by the LA</v>
          </cell>
          <cell r="BJ11" t="str">
            <v>An amount for each special needs place purchased by the LA</v>
          </cell>
          <cell r="BK11" t="str">
            <v>An amount for each special needs place purchased by the LA</v>
          </cell>
          <cell r="BL11" t="str">
            <v>An amount for each special needs place purchased by the LA</v>
          </cell>
          <cell r="BM11" t="str">
            <v>An amount for each special needs place purchased by the LA</v>
          </cell>
          <cell r="BN11" t="str">
            <v>An amount for each special needs place purchased by the LA</v>
          </cell>
          <cell r="BO11" t="str">
            <v>An amount for each special needs place purchased by the LA</v>
          </cell>
          <cell r="BR11" t="str">
            <v>Methodology</v>
          </cell>
          <cell r="BS11" t="str">
            <v xml:space="preserve">Hours of children in the IMD 40% most deprived areas, with a triple weighting for those in the top 20% deprived areas. </v>
          </cell>
          <cell r="BT11" t="str">
            <v>Base allocation for maintained Nursery Schools. This was calculated to allocate some of the historical grants to Nurseries following a consultation process and School Forum approval.</v>
          </cell>
          <cell r="BU11" t="str">
            <v>The number of underachieving pupils at January 2012 Census with English as an additional language by an hourly multiplier from EYSFF costing exercise.</v>
          </cell>
          <cell r="BV11" t="str">
            <v xml:space="preserve">Special needs TAs - actual hours allocated in January 2012 are compared with the estimate used in the 2011-12 budget and an adjustment is applied equal to 7/12 of the difference. Pupils with Statements - actual numbers of pupils in January 2012 are compared to the estimate used in the 2011-12 budget and an adjustment is applied equal to 7/12 of the difference. </v>
          </cell>
          <cell r="BW11" t="str">
            <v>Actual rates charge for 2012-13</v>
          </cell>
          <cell r="BX11" t="str">
            <v>Early Years Budget Adjustment to 2011-12 payments for Nurseries and Maintained Schools Nurseries</v>
          </cell>
          <cell r="BY11" t="str">
            <v>Teaching support - the number of pupils with statements, the  weighted average of 5/12 of the figure as at January 2012 and 7/12 of the estimate for January 2013.</v>
          </cell>
          <cell r="BZ11" t="str">
            <v>Number of children (in hours) known to Social Services by multiplier derived form EYSFF costing exercise</v>
          </cell>
          <cell r="CA11" t="str">
            <v>Ceiling of 3% Increase on prior year budget</v>
          </cell>
          <cell r="CB11" t="str">
            <v>Enhanced resource schools are funded according to the places purchased by the local authority at each school. There is a different tariff for each type of special need.</v>
          </cell>
          <cell r="CC11" t="str">
            <v>Early years Specific Minimum Funding Guarantee. To ensure that all Early Years Funding is captured in Early Years.</v>
          </cell>
          <cell r="CD11" t="str">
            <v>Provision at 50% to protect schools for deletion of AST funding as agreed with Schools Forum. This protection is for 2012-13 only.</v>
          </cell>
          <cell r="CF11" t="str">
            <v>An allocation is made to primary schools based on the school's standard number (SN). An SN up to 30 counts as one unit, 31-60 counts as 2 units, etc.</v>
          </cell>
          <cell r="CI11" t="str">
            <v>Multiplier by number of pupils per school taking free meals</v>
          </cell>
          <cell r="CJ11" t="str">
            <v>Multiplier by number of pupils for each school that has insurance function devolved</v>
          </cell>
          <cell r="CK11" t="str">
            <v>Multiplier by number of pupils in each school</v>
          </cell>
          <cell r="CL11" t="str">
            <v>Multiplier by number of pupils per school taking paid meals</v>
          </cell>
          <cell r="CN11" t="str">
            <v>Funding levels are allocated by the EFA. The allocation includes the main funding for the 2012-13 financial year.</v>
          </cell>
          <cell r="CO11" t="str">
            <v>Teachers Pay grant EFA funded - an amount per sixth form teacher entitled to performance pay</v>
          </cell>
          <cell r="CQ11" t="str">
            <v>Mobility SEN/EAL: 20% of previous years' growth is allocated though the number of pupils in the latest school census who arrived at the school in the past year and have English as an additional language or special educational needs.</v>
          </cell>
          <cell r="CR11" t="str">
            <v>The number of pupils at January 2012 Census with English as an additional language</v>
          </cell>
          <cell r="CS11" t="str">
            <v>The number of underachieving pupils at January 2012 Census with English as an additional language</v>
          </cell>
          <cell r="CU11" t="str">
            <v>Teaching support - the number of pupils with statements, the  weighted average of 5/12 of the figure as at January 2010 and 7/12 of the estimate for January 2011. The funding is only given for pupils with statements of more than 15 hours of support per week and it only funds the hours of support above the first 15 hours per pupil.</v>
          </cell>
          <cell r="CV11" t="str">
            <v>Teaching support out of the catchment area - the number of pupils with statements who live outside the school's normal catchment area.</v>
          </cell>
          <cell r="CX11" t="str">
            <v>Enhanced resource schools are funded according to the places purchased by the local authority at each school. There is a different tariff for each type of special need.</v>
          </cell>
          <cell r="DD11" t="str">
            <v>Social deprivation -calculated by taking the percentage of pupils entitled to free school meals and multiplying it by the Net Pupil Numbers</v>
          </cell>
          <cell r="DE11" t="str">
            <v>IMD: 80% of previous growth is allocated through the number of pupils in the IMD 40% most deprived areas, with a triple weighting for those in the 20% most deprived areas. This year an additional amount of funding has been allocated through this factor from the historical grants. This was calculated after consultation with Schools Forum.</v>
          </cell>
          <cell r="DF11" t="str">
            <v>Vulnerable children - numbers of children known to Social Services</v>
          </cell>
          <cell r="DG11" t="str">
            <v>KS2 prior attainment - allocations based on the number of pupils achieving below level 4 at KS2, with a double weighting for those achieving below level 3</v>
          </cell>
          <cell r="DH11" t="str">
            <v>Inclusion - funding calculated using a mixture of a base allocation for each secondary school and a weighted combination of total pupil turnover as at January Census, pupils with free meal funding and the pupil turnover numbers .</v>
          </cell>
          <cell r="DJ11" t="str">
            <v>Premises insurance - unit value multiplied by the reinstatement value of the building (expressed in £100,000s) where schools have requested delegation</v>
          </cell>
          <cell r="DK11" t="str">
            <v>Actual Charge for 2012-13</v>
          </cell>
          <cell r="DL11" t="str">
            <v>Maintenance (Assessed Need) - floor area multiplied by condition factor,  where 1 is best condition and 5 is worst</v>
          </cell>
          <cell r="DM11" t="str">
            <v>Base - Lump sum allocation. Includes premium for small schools of £4,649 for Primary Schools with less than 200 pupils. Includes elements of historical grants following consultation with Schools Forum. Bases vary slightly for Special Schools due to individual requirements.</v>
          </cell>
          <cell r="DN11" t="str">
            <v>Base - lump sum allocation for residential schools</v>
          </cell>
          <cell r="DO11" t="str">
            <v>Floor area - total area of the building in square metres. There is a weighting of 1.5 for residential special needs</v>
          </cell>
          <cell r="DP11" t="str">
            <v>Maintenance (Pupil density) - unit value multiplied by pupil numbers, divided by floor area and multiplied again by pupil numbers</v>
          </cell>
          <cell r="DR11" t="str">
            <v>PFI - actual cost of the addition to the main unitary charge</v>
          </cell>
          <cell r="DS11" t="str">
            <v>PFI - actual cost of the addition to the main unitary charge BSF related</v>
          </cell>
          <cell r="DT11" t="str">
            <v>PFI Utility Factor - compensation for increased utility bills in PFI schools</v>
          </cell>
          <cell r="DU11" t="str">
            <v>Split site - lump sum allocation for schools with buildings on more than one site. Split site index - number of year groups on the minor site multiplied by total pupil numbers. Split site base - lump sum allocation for schools with buildings on more than one site separated by a public highway and which need to maintain teaching or midday cover on more than one site. Split site other - lump sum for other schools which have a distance of at least 100m between the nearest buildings on each site, a distance of at least 250m between the principal entrance of each building by the most direct walking route and have at least 25% of the pupil population taught on the minor site</v>
          </cell>
          <cell r="DV11" t="str">
            <v>Budget for Hydrotherapy Pool at Special school</v>
          </cell>
          <cell r="DW11" t="str">
            <v>Nursing  - banded allocations, the amount for each school depends on the pupil profile in each school</v>
          </cell>
          <cell r="DY11" t="str">
            <v>Additional pupils arriving at school in addition to normal intake for school attract funding for the process.</v>
          </cell>
          <cell r="DZ11" t="str">
            <v>Admissions - total pupil numbers (aided and cheque book schools only)</v>
          </cell>
          <cell r="EA11" t="str">
            <v>Small schools curriculum - secondary funding for schools with less than 750 pupils and primaries with less than 160 pupils. The actual pupil numbers are subtracted from 750/160 and the resulting number is multiplied by the unit value.</v>
          </cell>
          <cell r="EI11" t="str">
            <v>Provision at 50% to protect schools for deletion of AST funding as agreed with Schools Forum. This protection is for 2012-13 only.</v>
          </cell>
          <cell r="EK11" t="str">
            <v xml:space="preserve">The percentage of the total number of pupils in the Sixth Form is applied to the total of all formula factors, excluding age weighted funding and LSC allocations. Where a school has an enhanced resource unit, the deduction from the funding for these places will reflect the number of pupils in that unit who are over 16, expressed as a proportion of the total number of places. </v>
          </cell>
          <cell r="EL11" t="str">
            <v xml:space="preserve">Special needs TAs - actual hours allocated in January 2012 are compared with the estimate used in the 2011-12 budget and an adjustment is applied equal to 7/12 of the difference. Pupils with Statements - actual numbers of pupils in January 2012 are compared to the estimate used in the 2011-12 budget and an adjustment is applied equal to 7/12 of the difference. </v>
          </cell>
          <cell r="EM11" t="str">
            <v>Adjustment to 2011-12 Forecast for ERS places compared to actual places.</v>
          </cell>
        </row>
        <row r="12">
          <cell r="BR12" t="str">
            <v>Deprivation</v>
          </cell>
          <cell r="BS12">
            <v>1</v>
          </cell>
          <cell r="BT12">
            <v>0</v>
          </cell>
          <cell r="BU12">
            <v>0</v>
          </cell>
          <cell r="BV12">
            <v>0</v>
          </cell>
          <cell r="BW12">
            <v>0</v>
          </cell>
          <cell r="BX12">
            <v>0</v>
          </cell>
          <cell r="BY12">
            <v>0.27</v>
          </cell>
          <cell r="BZ12">
            <v>1</v>
          </cell>
          <cell r="CA12">
            <v>0</v>
          </cell>
          <cell r="CB12">
            <v>0</v>
          </cell>
          <cell r="CC12">
            <v>0</v>
          </cell>
          <cell r="CD12">
            <v>0</v>
          </cell>
          <cell r="CF12">
            <v>0</v>
          </cell>
          <cell r="CI12">
            <v>0</v>
          </cell>
          <cell r="CJ12">
            <v>0</v>
          </cell>
          <cell r="CK12">
            <v>0</v>
          </cell>
          <cell r="CL12">
            <v>0</v>
          </cell>
          <cell r="CN12">
            <v>0</v>
          </cell>
          <cell r="CO12">
            <v>0</v>
          </cell>
          <cell r="CQ12">
            <v>1</v>
          </cell>
          <cell r="CR12">
            <v>1</v>
          </cell>
          <cell r="CS12">
            <v>0</v>
          </cell>
          <cell r="CU12">
            <v>0.27</v>
          </cell>
          <cell r="CV12">
            <v>0.27</v>
          </cell>
          <cell r="CX12">
            <v>0</v>
          </cell>
          <cell r="DD12">
            <v>1</v>
          </cell>
          <cell r="DE12">
            <v>1</v>
          </cell>
          <cell r="DF12">
            <v>1</v>
          </cell>
          <cell r="DG12">
            <v>0.75</v>
          </cell>
          <cell r="DH12">
            <v>1</v>
          </cell>
          <cell r="DJ12">
            <v>0</v>
          </cell>
          <cell r="DK12">
            <v>0</v>
          </cell>
          <cell r="DL12">
            <v>0</v>
          </cell>
          <cell r="DM12">
            <v>0</v>
          </cell>
          <cell r="DN12">
            <v>0</v>
          </cell>
          <cell r="DO12">
            <v>0</v>
          </cell>
          <cell r="DP12">
            <v>0</v>
          </cell>
          <cell r="DR12">
            <v>0</v>
          </cell>
          <cell r="DS12">
            <v>0</v>
          </cell>
          <cell r="DT12">
            <v>0</v>
          </cell>
          <cell r="DU12">
            <v>0</v>
          </cell>
          <cell r="DV12">
            <v>0</v>
          </cell>
          <cell r="DW12">
            <v>0</v>
          </cell>
          <cell r="DY12">
            <v>0</v>
          </cell>
          <cell r="DZ12">
            <v>0</v>
          </cell>
          <cell r="EA12">
            <v>0</v>
          </cell>
          <cell r="EI12">
            <v>0</v>
          </cell>
          <cell r="EK12">
            <v>0</v>
          </cell>
          <cell r="EL12">
            <v>0</v>
          </cell>
          <cell r="EM12">
            <v>0</v>
          </cell>
        </row>
        <row r="14">
          <cell r="A14" t="str">
            <v>Unit Value</v>
          </cell>
          <cell r="G14">
            <v>6.0990005421484437</v>
          </cell>
          <cell r="H14">
            <v>3.496431241446202</v>
          </cell>
          <cell r="I14">
            <v>3.0528145657894745</v>
          </cell>
          <cell r="J14">
            <v>3.5625093391139</v>
          </cell>
          <cell r="U14">
            <v>2906.7795787694736</v>
          </cell>
          <cell r="Y14">
            <v>2450.3294975227932</v>
          </cell>
          <cell r="Z14">
            <v>2450.3294975227932</v>
          </cell>
          <cell r="AA14">
            <v>2569.3031288080288</v>
          </cell>
          <cell r="AB14">
            <v>2569.3031288080288</v>
          </cell>
          <cell r="AC14">
            <v>2569.3031288080288</v>
          </cell>
          <cell r="AD14">
            <v>2569.3031288080288</v>
          </cell>
          <cell r="AW14">
            <v>3326.3930074312998</v>
          </cell>
          <cell r="AX14">
            <v>3326.3930074312998</v>
          </cell>
          <cell r="AY14">
            <v>3326.3930074312998</v>
          </cell>
          <cell r="AZ14">
            <v>3789.6558982946494</v>
          </cell>
          <cell r="BA14">
            <v>3789.6558982946494</v>
          </cell>
          <cell r="BB14">
            <v>3789.6558982946494</v>
          </cell>
          <cell r="BE14">
            <v>7856.1976204856383</v>
          </cell>
          <cell r="BF14">
            <v>11968.689829424153</v>
          </cell>
          <cell r="BG14">
            <v>11906.359666484763</v>
          </cell>
          <cell r="BH14">
            <v>13256.846530171551</v>
          </cell>
          <cell r="BI14">
            <v>13072.453131475855</v>
          </cell>
          <cell r="BJ14">
            <v>12889.358277841397</v>
          </cell>
          <cell r="BK14">
            <v>17244.756325934959</v>
          </cell>
          <cell r="BL14">
            <v>17122.01784674681</v>
          </cell>
          <cell r="BM14">
            <v>18904.219001492551</v>
          </cell>
          <cell r="BN14">
            <v>6014.8607236511534</v>
          </cell>
          <cell r="BO14">
            <v>18488.684581896614</v>
          </cell>
        </row>
        <row r="16">
          <cell r="A16" t="str">
            <v>Additional Spend Unit Values Early Years</v>
          </cell>
          <cell r="BR16" t="str">
            <v>Additional Spend Unit Values Early Years</v>
          </cell>
          <cell r="BS16">
            <v>0.2036</v>
          </cell>
          <cell r="BT16">
            <v>47500</v>
          </cell>
          <cell r="BU16">
            <v>0.2036</v>
          </cell>
          <cell r="BV16">
            <v>1E-3</v>
          </cell>
          <cell r="BW16">
            <v>1.0000000000000001E-5</v>
          </cell>
          <cell r="BX16">
            <v>1E-4</v>
          </cell>
          <cell r="BY16">
            <v>1E-3</v>
          </cell>
          <cell r="BZ16">
            <v>1.7611399999999999</v>
          </cell>
          <cell r="CA16">
            <v>1E-3</v>
          </cell>
          <cell r="CB16">
            <v>1E-3</v>
          </cell>
          <cell r="CC16">
            <v>1E-3</v>
          </cell>
          <cell r="CD16">
            <v>1E-3</v>
          </cell>
        </row>
        <row r="17">
          <cell r="A17" t="str">
            <v>Additional Spend Unit Values Primary</v>
          </cell>
          <cell r="BR17" t="str">
            <v>Additional Spend Unit Values Primary</v>
          </cell>
          <cell r="CF17">
            <v>11340.305565018814</v>
          </cell>
          <cell r="CJ17">
            <v>17.304430933686298</v>
          </cell>
          <cell r="CK17">
            <v>20.29699924132888</v>
          </cell>
          <cell r="CL17">
            <v>38.475058218147801</v>
          </cell>
          <cell r="CQ17">
            <v>1.0000000000000001E-5</v>
          </cell>
          <cell r="CR17">
            <v>200.97142192711499</v>
          </cell>
          <cell r="CS17">
            <v>202.08526015125898</v>
          </cell>
          <cell r="CU17">
            <v>600.64775020415561</v>
          </cell>
          <cell r="CV17">
            <v>600.64775020415561</v>
          </cell>
          <cell r="CX17">
            <v>1E-3</v>
          </cell>
          <cell r="DD17">
            <v>1474.7154134107291</v>
          </cell>
          <cell r="DE17">
            <v>1E-3</v>
          </cell>
          <cell r="DF17">
            <v>856.11742475261747</v>
          </cell>
          <cell r="DJ17">
            <v>190.94503354876039</v>
          </cell>
          <cell r="DK17">
            <v>1E-3</v>
          </cell>
          <cell r="DL17">
            <v>1.4313420310162734</v>
          </cell>
          <cell r="DM17">
            <v>70073</v>
          </cell>
          <cell r="DR17">
            <v>1E-3</v>
          </cell>
          <cell r="DS17">
            <v>1E-3</v>
          </cell>
          <cell r="DT17">
            <v>1E-3</v>
          </cell>
          <cell r="DY17">
            <v>326.7839442401052</v>
          </cell>
          <cell r="DZ17">
            <v>3.4536126504642066</v>
          </cell>
          <cell r="EA17">
            <v>282.35603008131017</v>
          </cell>
          <cell r="EI17">
            <v>1E-3</v>
          </cell>
          <cell r="EL17">
            <v>1E-3</v>
          </cell>
          <cell r="EM17">
            <v>1E-3</v>
          </cell>
        </row>
        <row r="18">
          <cell r="A18" t="str">
            <v>Additional Spend Unit Values Secondary</v>
          </cell>
          <cell r="BR18" t="str">
            <v>Additional Spend Unit Values Secondary</v>
          </cell>
          <cell r="CJ18">
            <v>17.304430933686298</v>
          </cell>
          <cell r="CK18">
            <v>30.92201278725328</v>
          </cell>
          <cell r="CL18">
            <v>38.475058218147801</v>
          </cell>
          <cell r="CN18">
            <v>1E-3</v>
          </cell>
          <cell r="CO18">
            <v>1E-3</v>
          </cell>
          <cell r="CQ18">
            <v>1E-3</v>
          </cell>
          <cell r="CR18">
            <v>205.98797312478598</v>
          </cell>
          <cell r="CS18">
            <v>202.65829189359198</v>
          </cell>
          <cell r="CU18">
            <v>582.64924143295434</v>
          </cell>
          <cell r="CX18">
            <v>1E-3</v>
          </cell>
          <cell r="DD18">
            <v>1280.2255130501539</v>
          </cell>
          <cell r="DE18">
            <v>1E-3</v>
          </cell>
          <cell r="DF18">
            <v>1657.4868066924982</v>
          </cell>
          <cell r="DG18">
            <v>874.23602830713594</v>
          </cell>
          <cell r="DH18">
            <v>1E-3</v>
          </cell>
          <cell r="DJ18">
            <v>190.94503354876039</v>
          </cell>
          <cell r="DK18">
            <v>0.01</v>
          </cell>
          <cell r="DL18">
            <v>1.3812002145126985</v>
          </cell>
          <cell r="DM18">
            <v>349775</v>
          </cell>
          <cell r="DR18">
            <v>1E-3</v>
          </cell>
          <cell r="DS18">
            <v>1E-3</v>
          </cell>
          <cell r="DT18">
            <v>1E-3</v>
          </cell>
          <cell r="DU18">
            <v>19329.921551105632</v>
          </cell>
          <cell r="DY18">
            <v>1303.1030892469601</v>
          </cell>
          <cell r="DZ18">
            <v>5.2319654331659242</v>
          </cell>
          <cell r="EA18">
            <v>384.83242785983924</v>
          </cell>
          <cell r="EI18">
            <v>1E-3</v>
          </cell>
          <cell r="EK18">
            <v>1E-3</v>
          </cell>
          <cell r="EL18">
            <v>1E-3</v>
          </cell>
          <cell r="EM18">
            <v>1E-3</v>
          </cell>
        </row>
        <row r="19">
          <cell r="A19" t="str">
            <v>Additional Spend Unit Values Special</v>
          </cell>
          <cell r="BR19" t="str">
            <v>Additional Spend Unit Values Special</v>
          </cell>
          <cell r="CI19">
            <v>664.76</v>
          </cell>
          <cell r="CL19">
            <v>38.1545422637979</v>
          </cell>
          <cell r="DL19">
            <v>150.85167049027518</v>
          </cell>
          <cell r="DM19">
            <v>1E-3</v>
          </cell>
          <cell r="DN19">
            <v>144621.54837177516</v>
          </cell>
          <cell r="DO19">
            <v>42.425727805104955</v>
          </cell>
          <cell r="DP19">
            <v>189.53701857300527</v>
          </cell>
          <cell r="DR19">
            <v>1E-3</v>
          </cell>
          <cell r="DS19">
            <v>1E-3</v>
          </cell>
          <cell r="DT19">
            <v>1E-3</v>
          </cell>
          <cell r="DV19">
            <v>143000</v>
          </cell>
          <cell r="DW19">
            <v>1E-3</v>
          </cell>
          <cell r="EI19">
            <v>1E-3</v>
          </cell>
          <cell r="EK19">
            <v>1E-3</v>
          </cell>
          <cell r="EL19">
            <v>1E-3</v>
          </cell>
          <cell r="EM19">
            <v>1E-3</v>
          </cell>
        </row>
        <row r="20">
          <cell r="BR20">
            <v>0</v>
          </cell>
        </row>
        <row r="21">
          <cell r="A21" t="str">
            <v>Nursery Schools</v>
          </cell>
        </row>
        <row r="22">
          <cell r="C22" t="str">
            <v>Lord Street Nursery School</v>
          </cell>
          <cell r="D22">
            <v>1005</v>
          </cell>
          <cell r="F22" t="str">
            <v/>
          </cell>
          <cell r="G22">
            <v>53010</v>
          </cell>
          <cell r="H22">
            <v>0</v>
          </cell>
          <cell r="I22">
            <v>0</v>
          </cell>
          <cell r="J22">
            <v>0</v>
          </cell>
          <cell r="L22">
            <v>323308.01873928902</v>
          </cell>
          <cell r="M22">
            <v>53010</v>
          </cell>
          <cell r="N22">
            <v>55.8</v>
          </cell>
          <cell r="S22">
            <v>0</v>
          </cell>
          <cell r="T22">
            <v>0</v>
          </cell>
          <cell r="BS22">
            <v>33074.82</v>
          </cell>
          <cell r="BT22">
            <v>47500</v>
          </cell>
          <cell r="BU22">
            <v>1740.78</v>
          </cell>
          <cell r="BV22">
            <v>0</v>
          </cell>
          <cell r="BW22">
            <v>7959.48</v>
          </cell>
          <cell r="BX22">
            <v>3753.5553359434125</v>
          </cell>
          <cell r="BY22">
            <v>0</v>
          </cell>
          <cell r="BZ22">
            <v>7026.9486000000006</v>
          </cell>
          <cell r="CA22">
            <v>0</v>
          </cell>
          <cell r="CB22">
            <v>84309.717893589856</v>
          </cell>
          <cell r="CC22">
            <v>0</v>
          </cell>
          <cell r="CD22">
            <v>0</v>
          </cell>
          <cell r="CE22">
            <v>185365.30182953327</v>
          </cell>
          <cell r="EP22">
            <v>0</v>
          </cell>
          <cell r="EQ22">
            <v>508673.32056882232</v>
          </cell>
          <cell r="ER22">
            <v>508673.32056882232</v>
          </cell>
          <cell r="ET22">
            <v>55.8</v>
          </cell>
          <cell r="EU22">
            <v>9116.009329190365</v>
          </cell>
          <cell r="EV22" t="str">
            <v>No Variation Applied</v>
          </cell>
          <cell r="EX22">
            <v>0</v>
          </cell>
          <cell r="EY22">
            <v>0</v>
          </cell>
          <cell r="EZ22">
            <v>93077.446493589858</v>
          </cell>
        </row>
        <row r="23">
          <cell r="C23" t="str">
            <v>Central Community Nursery School</v>
          </cell>
          <cell r="D23">
            <v>1006</v>
          </cell>
          <cell r="F23" t="str">
            <v/>
          </cell>
          <cell r="G23">
            <v>37524</v>
          </cell>
          <cell r="H23">
            <v>0</v>
          </cell>
          <cell r="I23">
            <v>0</v>
          </cell>
          <cell r="J23">
            <v>0</v>
          </cell>
          <cell r="L23">
            <v>228858.89634357821</v>
          </cell>
          <cell r="M23">
            <v>37524</v>
          </cell>
          <cell r="N23">
            <v>39.498947368421049</v>
          </cell>
          <cell r="S23">
            <v>0</v>
          </cell>
          <cell r="T23">
            <v>0</v>
          </cell>
          <cell r="BS23">
            <v>12371.1432</v>
          </cell>
          <cell r="BT23">
            <v>47500</v>
          </cell>
          <cell r="BU23">
            <v>1508.6759999999999</v>
          </cell>
          <cell r="BV23">
            <v>1502</v>
          </cell>
          <cell r="BW23">
            <v>4379.08</v>
          </cell>
          <cell r="BX23">
            <v>39495.21009628725</v>
          </cell>
          <cell r="BY23">
            <v>3754.0484387759725</v>
          </cell>
          <cell r="BZ23">
            <v>2007.6995999999999</v>
          </cell>
          <cell r="CA23">
            <v>0</v>
          </cell>
          <cell r="CB23">
            <v>84309.717893589856</v>
          </cell>
          <cell r="CC23">
            <v>36894.824524094758</v>
          </cell>
          <cell r="CD23">
            <v>0</v>
          </cell>
          <cell r="CE23">
            <v>233722.39975274785</v>
          </cell>
          <cell r="EP23">
            <v>0</v>
          </cell>
          <cell r="EQ23">
            <v>462581.29609632608</v>
          </cell>
          <cell r="ER23">
            <v>462581.29609632608</v>
          </cell>
          <cell r="ET23">
            <v>39.498947368421049</v>
          </cell>
          <cell r="EU23">
            <v>11711.230979946429</v>
          </cell>
          <cell r="EV23" t="str">
            <v>No Variation Applied</v>
          </cell>
          <cell r="EX23">
            <v>0</v>
          </cell>
          <cell r="EY23">
            <v>0</v>
          </cell>
          <cell r="EZ23">
            <v>91580.141932365848</v>
          </cell>
        </row>
        <row r="24">
          <cell r="C24" t="str">
            <v>Harrington Nursery School</v>
          </cell>
          <cell r="D24">
            <v>1008</v>
          </cell>
          <cell r="F24" t="str">
            <v/>
          </cell>
          <cell r="G24">
            <v>45600</v>
          </cell>
          <cell r="H24">
            <v>0</v>
          </cell>
          <cell r="I24">
            <v>0</v>
          </cell>
          <cell r="J24">
            <v>0</v>
          </cell>
          <cell r="L24">
            <v>278114.42472196906</v>
          </cell>
          <cell r="M24">
            <v>45600</v>
          </cell>
          <cell r="N24">
            <v>48</v>
          </cell>
          <cell r="S24">
            <v>0</v>
          </cell>
          <cell r="T24">
            <v>0</v>
          </cell>
          <cell r="BS24">
            <v>27156.167999999998</v>
          </cell>
          <cell r="BT24">
            <v>47500</v>
          </cell>
          <cell r="BU24">
            <v>6034.7039999999997</v>
          </cell>
          <cell r="BV24">
            <v>16143</v>
          </cell>
          <cell r="BW24">
            <v>1692.76</v>
          </cell>
          <cell r="BX24">
            <v>-8.623310754832346</v>
          </cell>
          <cell r="BY24">
            <v>23275.100320411031</v>
          </cell>
          <cell r="BZ24">
            <v>4015.3991999999998</v>
          </cell>
          <cell r="CA24">
            <v>0</v>
          </cell>
          <cell r="CB24">
            <v>0</v>
          </cell>
          <cell r="CC24">
            <v>4282.864690168004</v>
          </cell>
          <cell r="CD24">
            <v>0</v>
          </cell>
          <cell r="CE24">
            <v>130091.3728998242</v>
          </cell>
          <cell r="EP24">
            <v>0</v>
          </cell>
          <cell r="EQ24">
            <v>408205.79762179323</v>
          </cell>
          <cell r="ER24">
            <v>408205.79762179323</v>
          </cell>
          <cell r="ET24">
            <v>48</v>
          </cell>
          <cell r="EU24">
            <v>8504.287450454025</v>
          </cell>
          <cell r="EV24" t="str">
            <v>No Variation Applied</v>
          </cell>
          <cell r="EX24">
            <v>0</v>
          </cell>
          <cell r="EY24">
            <v>0</v>
          </cell>
          <cell r="EZ24">
            <v>33325.203520411029</v>
          </cell>
        </row>
        <row r="25">
          <cell r="C25" t="str">
            <v>Walbrook Nursery School</v>
          </cell>
          <cell r="D25">
            <v>1009</v>
          </cell>
          <cell r="F25" t="str">
            <v/>
          </cell>
          <cell r="G25">
            <v>45600</v>
          </cell>
          <cell r="H25">
            <v>0</v>
          </cell>
          <cell r="I25">
            <v>0</v>
          </cell>
          <cell r="J25">
            <v>0</v>
          </cell>
          <cell r="L25">
            <v>278114.42472196906</v>
          </cell>
          <cell r="M25">
            <v>45600</v>
          </cell>
          <cell r="N25">
            <v>48</v>
          </cell>
          <cell r="S25">
            <v>0</v>
          </cell>
          <cell r="T25">
            <v>0</v>
          </cell>
          <cell r="BS25">
            <v>25763.544000000002</v>
          </cell>
          <cell r="BT25">
            <v>47500</v>
          </cell>
          <cell r="BU25">
            <v>3713.6640000000002</v>
          </cell>
          <cell r="BV25">
            <v>0</v>
          </cell>
          <cell r="BW25">
            <v>3320.41</v>
          </cell>
          <cell r="BX25">
            <v>-3298.4292772845947</v>
          </cell>
          <cell r="BY25">
            <v>9760.525940817528</v>
          </cell>
          <cell r="BZ25">
            <v>2007.6995999999999</v>
          </cell>
          <cell r="CA25">
            <v>0</v>
          </cell>
          <cell r="CB25">
            <v>0</v>
          </cell>
          <cell r="CC25">
            <v>1540.2654465621454</v>
          </cell>
          <cell r="CD25">
            <v>8840.6951250000002</v>
          </cell>
          <cell r="CE25">
            <v>99148.374835095077</v>
          </cell>
          <cell r="EP25">
            <v>0</v>
          </cell>
          <cell r="EQ25">
            <v>377262.79955706414</v>
          </cell>
          <cell r="ER25">
            <v>377262.79955706414</v>
          </cell>
          <cell r="ET25">
            <v>48</v>
          </cell>
          <cell r="EU25">
            <v>7859.6416574388359</v>
          </cell>
          <cell r="EV25" t="str">
            <v>No Variation Applied</v>
          </cell>
          <cell r="EX25">
            <v>0</v>
          </cell>
          <cell r="EY25">
            <v>0</v>
          </cell>
          <cell r="EZ25">
            <v>15481.889540817529</v>
          </cell>
        </row>
        <row r="26">
          <cell r="C26" t="str">
            <v>Stonehill Nursery School</v>
          </cell>
          <cell r="D26">
            <v>1010</v>
          </cell>
          <cell r="F26" t="str">
            <v/>
          </cell>
          <cell r="G26">
            <v>37650</v>
          </cell>
          <cell r="H26">
            <v>0</v>
          </cell>
          <cell r="I26">
            <v>0</v>
          </cell>
          <cell r="J26">
            <v>0</v>
          </cell>
          <cell r="L26">
            <v>229627.3704118889</v>
          </cell>
          <cell r="M26">
            <v>37650</v>
          </cell>
          <cell r="N26">
            <v>39.631578947368418</v>
          </cell>
          <cell r="S26">
            <v>0</v>
          </cell>
          <cell r="T26">
            <v>0</v>
          </cell>
          <cell r="BS26">
            <v>19148.580000000002</v>
          </cell>
          <cell r="BT26">
            <v>47500</v>
          </cell>
          <cell r="BU26">
            <v>5918.652</v>
          </cell>
          <cell r="BV26">
            <v>0</v>
          </cell>
          <cell r="BW26">
            <v>1725.32</v>
          </cell>
          <cell r="BX26">
            <v>-23045.603770437243</v>
          </cell>
          <cell r="BY26">
            <v>9760.525940817528</v>
          </cell>
          <cell r="BZ26">
            <v>1003.8498</v>
          </cell>
          <cell r="CA26">
            <v>0</v>
          </cell>
          <cell r="CB26">
            <v>0</v>
          </cell>
          <cell r="CC26">
            <v>94616.697208817641</v>
          </cell>
          <cell r="CD26">
            <v>0</v>
          </cell>
          <cell r="CE26">
            <v>156628.02117919794</v>
          </cell>
          <cell r="EP26">
            <v>0</v>
          </cell>
          <cell r="EQ26">
            <v>386255.39159108687</v>
          </cell>
          <cell r="ER26">
            <v>386255.39159108687</v>
          </cell>
          <cell r="ET26">
            <v>39.631578947368418</v>
          </cell>
          <cell r="EU26">
            <v>9746.1519790579696</v>
          </cell>
          <cell r="EV26" t="str">
            <v>No Variation Applied</v>
          </cell>
          <cell r="EX26">
            <v>0</v>
          </cell>
          <cell r="EY26">
            <v>0</v>
          </cell>
          <cell r="EZ26">
            <v>16683.027740817528</v>
          </cell>
        </row>
        <row r="27">
          <cell r="C27" t="str">
            <v>Ashgate Nursery School</v>
          </cell>
          <cell r="D27">
            <v>1014</v>
          </cell>
          <cell r="F27" t="str">
            <v/>
          </cell>
          <cell r="G27">
            <v>31698</v>
          </cell>
          <cell r="H27">
            <v>0</v>
          </cell>
          <cell r="I27">
            <v>0</v>
          </cell>
          <cell r="J27">
            <v>0</v>
          </cell>
          <cell r="L27">
            <v>193326.11918502138</v>
          </cell>
          <cell r="M27">
            <v>31698</v>
          </cell>
          <cell r="N27">
            <v>33.366315789473681</v>
          </cell>
          <cell r="S27">
            <v>0</v>
          </cell>
          <cell r="T27">
            <v>0</v>
          </cell>
          <cell r="BS27">
            <v>9377.0015999999996</v>
          </cell>
          <cell r="BT27">
            <v>47500</v>
          </cell>
          <cell r="BU27">
            <v>464.20800000000003</v>
          </cell>
          <cell r="BV27">
            <v>0</v>
          </cell>
          <cell r="BW27">
            <v>6560.64</v>
          </cell>
          <cell r="BX27">
            <v>-5586.1423095781356</v>
          </cell>
          <cell r="BY27">
            <v>0</v>
          </cell>
          <cell r="BZ27">
            <v>4015.3991999999998</v>
          </cell>
          <cell r="CA27">
            <v>0</v>
          </cell>
          <cell r="CB27">
            <v>0</v>
          </cell>
          <cell r="CC27">
            <v>45591.875325018947</v>
          </cell>
          <cell r="CD27">
            <v>0</v>
          </cell>
          <cell r="CE27">
            <v>107922.98181544081</v>
          </cell>
          <cell r="EP27">
            <v>0</v>
          </cell>
          <cell r="EQ27">
            <v>301249.10100046219</v>
          </cell>
          <cell r="ER27">
            <v>301249.10100046219</v>
          </cell>
          <cell r="ET27">
            <v>33.366315789473681</v>
          </cell>
          <cell r="EU27">
            <v>9028.5395277443095</v>
          </cell>
          <cell r="EV27" t="str">
            <v>No Variation Applied</v>
          </cell>
          <cell r="EX27">
            <v>0</v>
          </cell>
          <cell r="EY27">
            <v>0</v>
          </cell>
          <cell r="EZ27">
            <v>4479.6071999999995</v>
          </cell>
        </row>
        <row r="28">
          <cell r="C28" t="str">
            <v>Whitecross Nursery School</v>
          </cell>
          <cell r="D28">
            <v>1015</v>
          </cell>
          <cell r="F28" t="str">
            <v/>
          </cell>
          <cell r="G28">
            <v>43338</v>
          </cell>
          <cell r="H28">
            <v>0</v>
          </cell>
          <cell r="I28">
            <v>0</v>
          </cell>
          <cell r="J28">
            <v>0</v>
          </cell>
          <cell r="L28">
            <v>264318.48549562925</v>
          </cell>
          <cell r="M28">
            <v>43338</v>
          </cell>
          <cell r="N28">
            <v>45.618947368421054</v>
          </cell>
          <cell r="S28">
            <v>0</v>
          </cell>
          <cell r="T28">
            <v>0</v>
          </cell>
          <cell r="BS28">
            <v>3272.6664000000001</v>
          </cell>
          <cell r="BT28">
            <v>47500</v>
          </cell>
          <cell r="BU28">
            <v>232.10400000000001</v>
          </cell>
          <cell r="BV28">
            <v>0</v>
          </cell>
          <cell r="BW28">
            <v>2148.5100000000002</v>
          </cell>
          <cell r="BX28">
            <v>20232.521069210634</v>
          </cell>
          <cell r="BY28">
            <v>22824.614507757913</v>
          </cell>
          <cell r="BZ28">
            <v>1003.8498</v>
          </cell>
          <cell r="CA28">
            <v>0</v>
          </cell>
          <cell r="CB28">
            <v>0</v>
          </cell>
          <cell r="CC28">
            <v>0</v>
          </cell>
          <cell r="CD28">
            <v>0</v>
          </cell>
          <cell r="CE28">
            <v>97214.265776968547</v>
          </cell>
          <cell r="EP28">
            <v>0</v>
          </cell>
          <cell r="EQ28">
            <v>361532.75127259782</v>
          </cell>
          <cell r="ER28">
            <v>361532.75127259782</v>
          </cell>
          <cell r="ET28">
            <v>45.618947368421054</v>
          </cell>
          <cell r="EU28">
            <v>7925.0568487001692</v>
          </cell>
          <cell r="EV28" t="str">
            <v>No Variation Applied</v>
          </cell>
          <cell r="EX28">
            <v>0</v>
          </cell>
          <cell r="EY28">
            <v>0</v>
          </cell>
          <cell r="EZ28">
            <v>24060.568307757912</v>
          </cell>
        </row>
        <row r="29">
          <cell r="C29" t="str">
            <v>Castle Nursery School</v>
          </cell>
          <cell r="D29">
            <v>1017</v>
          </cell>
          <cell r="F29" t="str">
            <v/>
          </cell>
          <cell r="G29">
            <v>16572</v>
          </cell>
          <cell r="H29">
            <v>0</v>
          </cell>
          <cell r="I29">
            <v>0</v>
          </cell>
          <cell r="J29">
            <v>0</v>
          </cell>
          <cell r="L29">
            <v>101072.63698448401</v>
          </cell>
          <cell r="M29">
            <v>16572</v>
          </cell>
          <cell r="N29">
            <v>17.444210526315789</v>
          </cell>
          <cell r="S29">
            <v>0</v>
          </cell>
          <cell r="T29">
            <v>0</v>
          </cell>
          <cell r="BS29">
            <v>7357.6968000000006</v>
          </cell>
          <cell r="BT29">
            <v>47500</v>
          </cell>
          <cell r="BU29">
            <v>1740.78</v>
          </cell>
          <cell r="BV29">
            <v>1001</v>
          </cell>
          <cell r="BW29">
            <v>4287.2700000000004</v>
          </cell>
          <cell r="BX29">
            <v>29373.456776685489</v>
          </cell>
          <cell r="BY29">
            <v>1251.349479591991</v>
          </cell>
          <cell r="BZ29">
            <v>1003.8498</v>
          </cell>
          <cell r="CA29">
            <v>0</v>
          </cell>
          <cell r="CB29">
            <v>0</v>
          </cell>
          <cell r="CC29">
            <v>58442.177117062209</v>
          </cell>
          <cell r="CD29">
            <v>0</v>
          </cell>
          <cell r="CE29">
            <v>151957.57997333969</v>
          </cell>
          <cell r="EP29">
            <v>0</v>
          </cell>
          <cell r="EQ29">
            <v>253030.21695782369</v>
          </cell>
          <cell r="ER29">
            <v>253030.21695782369</v>
          </cell>
          <cell r="ET29">
            <v>17.444210526315789</v>
          </cell>
          <cell r="EU29">
            <v>14505.111399344227</v>
          </cell>
          <cell r="EV29" t="str">
            <v>No Variation Applied</v>
          </cell>
          <cell r="EX29">
            <v>0</v>
          </cell>
          <cell r="EY29">
            <v>0</v>
          </cell>
          <cell r="EZ29">
            <v>3995.9792795919911</v>
          </cell>
        </row>
        <row r="31">
          <cell r="B31" t="str">
            <v>Total/average Nursery Schools</v>
          </cell>
          <cell r="G31">
            <v>310992</v>
          </cell>
          <cell r="H31">
            <v>0</v>
          </cell>
          <cell r="I31">
            <v>0</v>
          </cell>
          <cell r="J31">
            <v>0</v>
          </cell>
          <cell r="K31">
            <v>0</v>
          </cell>
          <cell r="L31">
            <v>1896740.376603829</v>
          </cell>
          <cell r="M31">
            <v>310992</v>
          </cell>
          <cell r="N31">
            <v>327.35999999999996</v>
          </cell>
          <cell r="O31">
            <v>0</v>
          </cell>
          <cell r="P31">
            <v>0</v>
          </cell>
          <cell r="Q31">
            <v>0</v>
          </cell>
          <cell r="R31">
            <v>0</v>
          </cell>
          <cell r="S31">
            <v>0</v>
          </cell>
          <cell r="T31">
            <v>0</v>
          </cell>
          <cell r="BS31">
            <v>137521.62</v>
          </cell>
          <cell r="BT31">
            <v>380000</v>
          </cell>
          <cell r="BU31">
            <v>21353.567999999999</v>
          </cell>
          <cell r="BV31">
            <v>18646</v>
          </cell>
          <cell r="BW31">
            <v>32073.469999999998</v>
          </cell>
          <cell r="BX31">
            <v>60915.94461007198</v>
          </cell>
          <cell r="BY31">
            <v>70626.164628171973</v>
          </cell>
          <cell r="BZ31">
            <v>22084.695599999999</v>
          </cell>
          <cell r="CA31">
            <v>0</v>
          </cell>
          <cell r="CB31">
            <v>168619.43578717971</v>
          </cell>
          <cell r="CC31">
            <v>241368.7043117237</v>
          </cell>
          <cell r="CD31">
            <v>8840.6951250000002</v>
          </cell>
          <cell r="CE31">
            <v>1162050.2980621473</v>
          </cell>
          <cell r="EP31">
            <v>0</v>
          </cell>
          <cell r="EQ31">
            <v>3058790.6746659768</v>
          </cell>
          <cell r="ER31">
            <v>3058790.6746659763</v>
          </cell>
          <cell r="ET31">
            <v>327.35999999999996</v>
          </cell>
          <cell r="EU31">
            <v>9343.8131557489505</v>
          </cell>
          <cell r="EX31">
            <v>0</v>
          </cell>
          <cell r="EY31">
            <v>0</v>
          </cell>
          <cell r="EZ31">
            <v>282683.86401535169</v>
          </cell>
        </row>
        <row r="33">
          <cell r="B33" t="str">
            <v>PVI Providers TOTAL</v>
          </cell>
          <cell r="G33">
            <v>0</v>
          </cell>
          <cell r="H33">
            <v>0</v>
          </cell>
          <cell r="I33">
            <v>264836</v>
          </cell>
          <cell r="J33">
            <v>672478</v>
          </cell>
          <cell r="L33">
            <v>3204204.3536940585</v>
          </cell>
          <cell r="M33">
            <v>937314</v>
          </cell>
          <cell r="N33">
            <v>986.64631578947365</v>
          </cell>
          <cell r="S33">
            <v>0</v>
          </cell>
          <cell r="T33">
            <v>0</v>
          </cell>
          <cell r="BS33">
            <v>190963.15880000003</v>
          </cell>
          <cell r="BT33">
            <v>0</v>
          </cell>
          <cell r="BU33">
            <v>25605.753999999994</v>
          </cell>
          <cell r="BV33">
            <v>0</v>
          </cell>
          <cell r="BW33">
            <v>0</v>
          </cell>
          <cell r="BX33">
            <v>0</v>
          </cell>
          <cell r="BY33">
            <v>0</v>
          </cell>
          <cell r="BZ33">
            <v>40622.455239999981</v>
          </cell>
          <cell r="CA33">
            <v>-123465.43852615121</v>
          </cell>
          <cell r="CB33">
            <v>0</v>
          </cell>
          <cell r="CC33">
            <v>90744</v>
          </cell>
          <cell r="CD33">
            <v>0</v>
          </cell>
          <cell r="CE33">
            <v>224469.92951384879</v>
          </cell>
          <cell r="EP33">
            <v>0</v>
          </cell>
          <cell r="EQ33">
            <v>3428674.2832079073</v>
          </cell>
          <cell r="ER33">
            <v>3428674.2832079073</v>
          </cell>
          <cell r="ET33">
            <v>937314</v>
          </cell>
          <cell r="EU33">
            <v>3.6579783116521329</v>
          </cell>
          <cell r="EX33">
            <v>0</v>
          </cell>
          <cell r="EY33">
            <v>0</v>
          </cell>
          <cell r="EZ33">
            <v>0</v>
          </cell>
        </row>
        <row r="35">
          <cell r="A35" t="str">
            <v>Primary Schools</v>
          </cell>
        </row>
        <row r="36">
          <cell r="C36" t="str">
            <v>Reigate Primary School</v>
          </cell>
          <cell r="D36">
            <v>2000</v>
          </cell>
          <cell r="F36" t="str">
            <v/>
          </cell>
          <cell r="G36">
            <v>0</v>
          </cell>
          <cell r="H36">
            <v>17940</v>
          </cell>
          <cell r="I36">
            <v>0</v>
          </cell>
          <cell r="J36">
            <v>0</v>
          </cell>
          <cell r="L36">
            <v>62725.976471544862</v>
          </cell>
          <cell r="M36">
            <v>17940</v>
          </cell>
          <cell r="N36">
            <v>18.88421052631579</v>
          </cell>
          <cell r="S36">
            <v>0</v>
          </cell>
          <cell r="T36">
            <v>0</v>
          </cell>
          <cell r="U36">
            <v>52</v>
          </cell>
          <cell r="Y36">
            <v>38</v>
          </cell>
          <cell r="Z36">
            <v>46</v>
          </cell>
          <cell r="AA36">
            <v>42</v>
          </cell>
          <cell r="AB36">
            <v>38</v>
          </cell>
          <cell r="AC36">
            <v>40</v>
          </cell>
          <cell r="AD36">
            <v>53</v>
          </cell>
          <cell r="AK36">
            <v>801469.65717171633</v>
          </cell>
          <cell r="AL36">
            <v>309</v>
          </cell>
          <cell r="BS36">
            <v>4758.1319999999996</v>
          </cell>
          <cell r="BT36">
            <v>0</v>
          </cell>
          <cell r="BU36">
            <v>464.20800000000003</v>
          </cell>
          <cell r="BV36">
            <v>0</v>
          </cell>
          <cell r="BW36">
            <v>0</v>
          </cell>
          <cell r="BX36">
            <v>-3185.652731254886</v>
          </cell>
          <cell r="BY36">
            <v>0</v>
          </cell>
          <cell r="BZ36">
            <v>0</v>
          </cell>
          <cell r="CA36">
            <v>0</v>
          </cell>
          <cell r="CB36">
            <v>0</v>
          </cell>
          <cell r="CC36">
            <v>0</v>
          </cell>
          <cell r="CD36">
            <v>0</v>
          </cell>
          <cell r="CE36">
            <v>2036.6872687451132</v>
          </cell>
          <cell r="CF36">
            <v>22680.611130037629</v>
          </cell>
          <cell r="CI36">
            <v>0</v>
          </cell>
          <cell r="CJ36">
            <v>0</v>
          </cell>
          <cell r="CK36">
            <v>6271.77</v>
          </cell>
          <cell r="CL36">
            <v>2300.8084814452386</v>
          </cell>
          <cell r="CM36">
            <v>31253.189611482867</v>
          </cell>
          <cell r="CQ36">
            <v>3046.9238377843717</v>
          </cell>
          <cell r="CR36">
            <v>2612.63</v>
          </cell>
          <cell r="CS36">
            <v>3637.5346827226617</v>
          </cell>
          <cell r="CT36">
            <v>9297.0885205070335</v>
          </cell>
          <cell r="CU36">
            <v>0</v>
          </cell>
          <cell r="CV36">
            <v>0</v>
          </cell>
          <cell r="CW36">
            <v>0</v>
          </cell>
          <cell r="CX36">
            <v>410850.88821681798</v>
          </cell>
          <cell r="CZ36">
            <v>410850.88821681798</v>
          </cell>
          <cell r="DC36">
            <v>0</v>
          </cell>
          <cell r="DD36">
            <v>119805.88018548762</v>
          </cell>
          <cell r="DE36">
            <v>75718.016615653687</v>
          </cell>
          <cell r="DF36">
            <v>6848.9393980209397</v>
          </cell>
          <cell r="DG36">
            <v>0</v>
          </cell>
          <cell r="DH36">
            <v>0</v>
          </cell>
          <cell r="DI36">
            <v>202372.83619916227</v>
          </cell>
          <cell r="DJ36">
            <v>0</v>
          </cell>
          <cell r="DK36">
            <v>15228.5</v>
          </cell>
          <cell r="DL36">
            <v>7828.26</v>
          </cell>
          <cell r="DM36">
            <v>70073.495851086889</v>
          </cell>
          <cell r="DN36">
            <v>0</v>
          </cell>
          <cell r="DO36">
            <v>0</v>
          </cell>
          <cell r="DP36">
            <v>0</v>
          </cell>
          <cell r="DQ36">
            <v>93130.255851086898</v>
          </cell>
          <cell r="DR36">
            <v>0</v>
          </cell>
          <cell r="DS36">
            <v>0</v>
          </cell>
          <cell r="DT36">
            <v>0</v>
          </cell>
          <cell r="DU36">
            <v>0</v>
          </cell>
          <cell r="DV36">
            <v>0</v>
          </cell>
          <cell r="DW36">
            <v>0</v>
          </cell>
          <cell r="DX36">
            <v>0</v>
          </cell>
          <cell r="DY36">
            <v>6208.8949405619987</v>
          </cell>
          <cell r="DZ36">
            <v>0</v>
          </cell>
          <cell r="EA36">
            <v>0</v>
          </cell>
          <cell r="EB36">
            <v>6208.8949405619987</v>
          </cell>
          <cell r="EE36">
            <v>0</v>
          </cell>
          <cell r="EH36">
            <v>0</v>
          </cell>
          <cell r="EI36">
            <v>0</v>
          </cell>
          <cell r="EK36">
            <v>0</v>
          </cell>
          <cell r="EL36">
            <v>3504</v>
          </cell>
          <cell r="EM36">
            <v>22184</v>
          </cell>
          <cell r="EO36">
            <v>25688</v>
          </cell>
          <cell r="EP36">
            <v>0</v>
          </cell>
          <cell r="EQ36">
            <v>64762.663740289972</v>
          </cell>
          <cell r="ER36">
            <v>1645033.4742516256</v>
          </cell>
          <cell r="ET36">
            <v>327.88421052631577</v>
          </cell>
          <cell r="EU36">
            <v>5017.1170841408857</v>
          </cell>
          <cell r="EV36" t="str">
            <v>No Variation Applied</v>
          </cell>
          <cell r="EW36">
            <v>69250</v>
          </cell>
          <cell r="EX36">
            <v>0</v>
          </cell>
          <cell r="EY36">
            <v>0</v>
          </cell>
          <cell r="EZ36">
            <v>562799.03318154742</v>
          </cell>
        </row>
        <row r="37">
          <cell r="C37" t="str">
            <v>Roe Farm Primary School</v>
          </cell>
          <cell r="D37">
            <v>2001</v>
          </cell>
          <cell r="F37" t="str">
            <v/>
          </cell>
          <cell r="G37">
            <v>0</v>
          </cell>
          <cell r="H37">
            <v>35940</v>
          </cell>
          <cell r="I37">
            <v>0</v>
          </cell>
          <cell r="J37">
            <v>0</v>
          </cell>
          <cell r="L37">
            <v>125661.73881757649</v>
          </cell>
          <cell r="M37">
            <v>35940</v>
          </cell>
          <cell r="N37">
            <v>37.831578947368421</v>
          </cell>
          <cell r="S37">
            <v>0</v>
          </cell>
          <cell r="T37">
            <v>0</v>
          </cell>
          <cell r="U37">
            <v>46</v>
          </cell>
          <cell r="Y37">
            <v>42</v>
          </cell>
          <cell r="Z37">
            <v>49</v>
          </cell>
          <cell r="AA37">
            <v>45</v>
          </cell>
          <cell r="AB37">
            <v>44</v>
          </cell>
          <cell r="AC37">
            <v>27</v>
          </cell>
          <cell r="AD37">
            <v>38</v>
          </cell>
          <cell r="AK37">
            <v>752364.52673440636</v>
          </cell>
          <cell r="AL37">
            <v>291</v>
          </cell>
          <cell r="BS37">
            <v>15318.864</v>
          </cell>
          <cell r="BT37">
            <v>0</v>
          </cell>
          <cell r="BU37">
            <v>580.26</v>
          </cell>
          <cell r="BV37">
            <v>0</v>
          </cell>
          <cell r="BW37">
            <v>0</v>
          </cell>
          <cell r="BX37">
            <v>13978.400800000003</v>
          </cell>
          <cell r="BY37">
            <v>0</v>
          </cell>
          <cell r="BZ37">
            <v>8030.7983999999997</v>
          </cell>
          <cell r="CA37">
            <v>0</v>
          </cell>
          <cell r="CB37">
            <v>0</v>
          </cell>
          <cell r="CC37">
            <v>0</v>
          </cell>
          <cell r="CD37">
            <v>0</v>
          </cell>
          <cell r="CE37">
            <v>37908.323199999999</v>
          </cell>
          <cell r="CF37">
            <v>22680.611130037629</v>
          </cell>
          <cell r="CI37">
            <v>0</v>
          </cell>
          <cell r="CJ37">
            <v>0</v>
          </cell>
          <cell r="CK37">
            <v>5906.43</v>
          </cell>
          <cell r="CL37">
            <v>1689.0550557766885</v>
          </cell>
          <cell r="CM37">
            <v>30276.096185814316</v>
          </cell>
          <cell r="CQ37">
            <v>2285.1928783382787</v>
          </cell>
          <cell r="CR37">
            <v>4622.34</v>
          </cell>
          <cell r="CS37">
            <v>3233.3641624201437</v>
          </cell>
          <cell r="CT37">
            <v>10140.897040758424</v>
          </cell>
          <cell r="CU37">
            <v>10511.335628572724</v>
          </cell>
          <cell r="CV37">
            <v>0</v>
          </cell>
          <cell r="CW37">
            <v>10511.335628572724</v>
          </cell>
          <cell r="CX37">
            <v>0</v>
          </cell>
          <cell r="CZ37">
            <v>0</v>
          </cell>
          <cell r="DC37">
            <v>0</v>
          </cell>
          <cell r="DD37">
            <v>213111.12439198446</v>
          </cell>
          <cell r="DE37">
            <v>147115.78603702085</v>
          </cell>
          <cell r="DF37">
            <v>24827.405317825906</v>
          </cell>
          <cell r="DG37">
            <v>0</v>
          </cell>
          <cell r="DH37">
            <v>0</v>
          </cell>
          <cell r="DI37">
            <v>385054.31574683118</v>
          </cell>
          <cell r="DJ37">
            <v>0</v>
          </cell>
          <cell r="DK37">
            <v>17289.5</v>
          </cell>
          <cell r="DL37">
            <v>10144.719999999999</v>
          </cell>
          <cell r="DM37">
            <v>70073.495851086889</v>
          </cell>
          <cell r="DN37">
            <v>0</v>
          </cell>
          <cell r="DO37">
            <v>0</v>
          </cell>
          <cell r="DP37">
            <v>0</v>
          </cell>
          <cell r="DQ37">
            <v>97507.71585108689</v>
          </cell>
          <cell r="DR37">
            <v>0</v>
          </cell>
          <cell r="DS37">
            <v>0</v>
          </cell>
          <cell r="DT37">
            <v>0</v>
          </cell>
          <cell r="DU37">
            <v>0</v>
          </cell>
          <cell r="DV37">
            <v>0</v>
          </cell>
          <cell r="DW37">
            <v>0</v>
          </cell>
          <cell r="DX37">
            <v>0</v>
          </cell>
          <cell r="DY37">
            <v>4248.1912751213677</v>
          </cell>
          <cell r="DZ37">
            <v>0</v>
          </cell>
          <cell r="EA37">
            <v>0</v>
          </cell>
          <cell r="EB37">
            <v>4248.1912751213677</v>
          </cell>
          <cell r="EE37">
            <v>0</v>
          </cell>
          <cell r="EH37">
            <v>0</v>
          </cell>
          <cell r="EI37">
            <v>0</v>
          </cell>
          <cell r="EK37">
            <v>0</v>
          </cell>
          <cell r="EL37">
            <v>0</v>
          </cell>
          <cell r="EM37">
            <v>0</v>
          </cell>
          <cell r="EO37">
            <v>0</v>
          </cell>
          <cell r="EP37">
            <v>0</v>
          </cell>
          <cell r="EQ37">
            <v>163570.06201757648</v>
          </cell>
          <cell r="ER37">
            <v>1453673.1404801679</v>
          </cell>
          <cell r="ET37">
            <v>328.83157894736843</v>
          </cell>
          <cell r="EU37">
            <v>4420.7224413590684</v>
          </cell>
          <cell r="EV37" t="str">
            <v>No Variation Applied</v>
          </cell>
          <cell r="EW37">
            <v>114600</v>
          </cell>
          <cell r="EX37">
            <v>0</v>
          </cell>
          <cell r="EY37">
            <v>0</v>
          </cell>
          <cell r="EZ37">
            <v>280422.32609066629</v>
          </cell>
        </row>
        <row r="38">
          <cell r="C38" t="str">
            <v>Griffe Field Primary School</v>
          </cell>
          <cell r="D38">
            <v>2002</v>
          </cell>
          <cell r="F38" t="str">
            <v/>
          </cell>
          <cell r="G38">
            <v>0</v>
          </cell>
          <cell r="H38">
            <v>28170</v>
          </cell>
          <cell r="I38">
            <v>0</v>
          </cell>
          <cell r="J38">
            <v>0</v>
          </cell>
          <cell r="L38">
            <v>98494.468071539508</v>
          </cell>
          <cell r="M38">
            <v>28170</v>
          </cell>
          <cell r="N38">
            <v>29.652631578947368</v>
          </cell>
          <cell r="S38">
            <v>0</v>
          </cell>
          <cell r="T38">
            <v>0</v>
          </cell>
          <cell r="U38">
            <v>60</v>
          </cell>
          <cell r="Y38">
            <v>60</v>
          </cell>
          <cell r="Z38">
            <v>60</v>
          </cell>
          <cell r="AA38">
            <v>60</v>
          </cell>
          <cell r="AB38">
            <v>63</v>
          </cell>
          <cell r="AC38">
            <v>60</v>
          </cell>
          <cell r="AD38">
            <v>59</v>
          </cell>
          <cell r="AK38">
            <v>1090217.6716004466</v>
          </cell>
          <cell r="AL38">
            <v>422</v>
          </cell>
          <cell r="BS38">
            <v>580.26</v>
          </cell>
          <cell r="BT38">
            <v>0</v>
          </cell>
          <cell r="BU38">
            <v>116.05200000000001</v>
          </cell>
          <cell r="BV38">
            <v>0</v>
          </cell>
          <cell r="BW38">
            <v>0</v>
          </cell>
          <cell r="BX38">
            <v>10213.682199999996</v>
          </cell>
          <cell r="BY38">
            <v>0</v>
          </cell>
          <cell r="BZ38">
            <v>0</v>
          </cell>
          <cell r="CA38">
            <v>0</v>
          </cell>
          <cell r="CB38">
            <v>0</v>
          </cell>
          <cell r="CC38">
            <v>0</v>
          </cell>
          <cell r="CD38">
            <v>0</v>
          </cell>
          <cell r="CE38">
            <v>10909.994199999996</v>
          </cell>
          <cell r="CF38">
            <v>22680.611130037629</v>
          </cell>
          <cell r="CI38">
            <v>0</v>
          </cell>
          <cell r="CJ38">
            <v>0</v>
          </cell>
          <cell r="CK38">
            <v>8565.33</v>
          </cell>
          <cell r="CL38">
            <v>5353.1631000849638</v>
          </cell>
          <cell r="CM38">
            <v>36599.104230122597</v>
          </cell>
          <cell r="CQ38">
            <v>3808.6547972304647</v>
          </cell>
          <cell r="CR38">
            <v>2813.6</v>
          </cell>
          <cell r="CS38">
            <v>10508.433527865467</v>
          </cell>
          <cell r="CT38">
            <v>17130.688325095933</v>
          </cell>
          <cell r="CU38">
            <v>38291.294075514917</v>
          </cell>
          <cell r="CV38">
            <v>27029.148759187003</v>
          </cell>
          <cell r="CW38">
            <v>65320.44283470192</v>
          </cell>
          <cell r="CX38">
            <v>0</v>
          </cell>
          <cell r="CZ38">
            <v>0</v>
          </cell>
          <cell r="DC38">
            <v>0</v>
          </cell>
          <cell r="DD38">
            <v>45553.959120257423</v>
          </cell>
          <cell r="DE38">
            <v>4320.2471942865468</v>
          </cell>
          <cell r="DF38">
            <v>4280.5871237630872</v>
          </cell>
          <cell r="DG38">
            <v>0</v>
          </cell>
          <cell r="DH38">
            <v>0</v>
          </cell>
          <cell r="DI38">
            <v>54154.793438307053</v>
          </cell>
          <cell r="DJ38">
            <v>0</v>
          </cell>
          <cell r="DK38">
            <v>42365</v>
          </cell>
          <cell r="DL38">
            <v>2906.08</v>
          </cell>
          <cell r="DM38">
            <v>70073.495851086889</v>
          </cell>
          <cell r="DN38">
            <v>0</v>
          </cell>
          <cell r="DO38">
            <v>0</v>
          </cell>
          <cell r="DP38">
            <v>0</v>
          </cell>
          <cell r="DQ38">
            <v>115344.57585108689</v>
          </cell>
          <cell r="DR38">
            <v>0</v>
          </cell>
          <cell r="DS38">
            <v>0</v>
          </cell>
          <cell r="DT38">
            <v>0</v>
          </cell>
          <cell r="DU38">
            <v>0</v>
          </cell>
          <cell r="DV38">
            <v>0</v>
          </cell>
          <cell r="DW38">
            <v>0</v>
          </cell>
          <cell r="DX38">
            <v>0</v>
          </cell>
          <cell r="DY38">
            <v>2614.2715539208416</v>
          </cell>
          <cell r="DZ38">
            <v>0</v>
          </cell>
          <cell r="EA38">
            <v>0</v>
          </cell>
          <cell r="EB38">
            <v>2614.2715539208416</v>
          </cell>
          <cell r="EE38">
            <v>0</v>
          </cell>
          <cell r="EH38">
            <v>0</v>
          </cell>
          <cell r="EI38">
            <v>0</v>
          </cell>
          <cell r="EK38">
            <v>0</v>
          </cell>
          <cell r="EL38">
            <v>8885</v>
          </cell>
          <cell r="EM38">
            <v>0</v>
          </cell>
          <cell r="EO38">
            <v>8885</v>
          </cell>
          <cell r="EP38">
            <v>0</v>
          </cell>
          <cell r="EQ38">
            <v>109404.46227153951</v>
          </cell>
          <cell r="ER38">
            <v>1499671.0101052213</v>
          </cell>
          <cell r="ET38">
            <v>451.65263157894736</v>
          </cell>
          <cell r="EU38">
            <v>3320.4079977625101</v>
          </cell>
          <cell r="EV38" t="str">
            <v>No Variation Applied</v>
          </cell>
          <cell r="EW38">
            <v>25800</v>
          </cell>
          <cell r="EX38">
            <v>0</v>
          </cell>
          <cell r="EY38">
            <v>0</v>
          </cell>
          <cell r="EZ38">
            <v>142207.8980137347</v>
          </cell>
        </row>
        <row r="39">
          <cell r="C39" t="str">
            <v>Parkview Primary School</v>
          </cell>
          <cell r="D39">
            <v>2003</v>
          </cell>
          <cell r="F39" t="str">
            <v/>
          </cell>
          <cell r="G39">
            <v>0</v>
          </cell>
          <cell r="H39">
            <v>29640</v>
          </cell>
          <cell r="I39">
            <v>0</v>
          </cell>
          <cell r="J39">
            <v>0</v>
          </cell>
          <cell r="L39">
            <v>103634.22199646542</v>
          </cell>
          <cell r="M39">
            <v>29640</v>
          </cell>
          <cell r="N39">
            <v>31.2</v>
          </cell>
          <cell r="S39">
            <v>0</v>
          </cell>
          <cell r="T39">
            <v>0</v>
          </cell>
          <cell r="U39">
            <v>30</v>
          </cell>
          <cell r="Y39">
            <v>30</v>
          </cell>
          <cell r="Z39">
            <v>30</v>
          </cell>
          <cell r="AA39">
            <v>31</v>
          </cell>
          <cell r="AB39">
            <v>30</v>
          </cell>
          <cell r="AC39">
            <v>33</v>
          </cell>
          <cell r="AD39">
            <v>30</v>
          </cell>
          <cell r="AK39">
            <v>552816.7451866474</v>
          </cell>
          <cell r="AL39">
            <v>214</v>
          </cell>
          <cell r="BS39">
            <v>348.15600000000001</v>
          </cell>
          <cell r="BT39">
            <v>0</v>
          </cell>
          <cell r="BU39">
            <v>232.10400000000001</v>
          </cell>
          <cell r="BV39">
            <v>0</v>
          </cell>
          <cell r="BW39">
            <v>0</v>
          </cell>
          <cell r="BX39">
            <v>-7194.4679999999935</v>
          </cell>
          <cell r="BY39">
            <v>0</v>
          </cell>
          <cell r="BZ39">
            <v>0</v>
          </cell>
          <cell r="CA39">
            <v>0</v>
          </cell>
          <cell r="CB39">
            <v>0</v>
          </cell>
          <cell r="CC39">
            <v>0</v>
          </cell>
          <cell r="CD39">
            <v>0</v>
          </cell>
          <cell r="CE39">
            <v>-6614.2079999999933</v>
          </cell>
          <cell r="CF39">
            <v>11340.305565018814</v>
          </cell>
          <cell r="CI39">
            <v>0</v>
          </cell>
          <cell r="CJ39">
            <v>0</v>
          </cell>
          <cell r="CK39">
            <v>4343.5600000000004</v>
          </cell>
          <cell r="CL39">
            <v>1337.9701495360898</v>
          </cell>
          <cell r="CM39">
            <v>17021.835714554905</v>
          </cell>
          <cell r="CQ39">
            <v>1523.4619188921858</v>
          </cell>
          <cell r="CR39">
            <v>803.89</v>
          </cell>
          <cell r="CS39">
            <v>606.25578045377688</v>
          </cell>
          <cell r="CT39">
            <v>2933.6076993459628</v>
          </cell>
          <cell r="CU39">
            <v>8133.7716173479403</v>
          </cell>
          <cell r="CV39">
            <v>0</v>
          </cell>
          <cell r="CW39">
            <v>8133.7716173479403</v>
          </cell>
          <cell r="CX39">
            <v>0</v>
          </cell>
          <cell r="CZ39">
            <v>0</v>
          </cell>
          <cell r="DC39">
            <v>0</v>
          </cell>
          <cell r="DD39">
            <v>13818.083423658531</v>
          </cell>
          <cell r="DE39">
            <v>1591.6700189476753</v>
          </cell>
          <cell r="DF39">
            <v>856.11742475261747</v>
          </cell>
          <cell r="DG39">
            <v>0</v>
          </cell>
          <cell r="DH39">
            <v>0</v>
          </cell>
          <cell r="DI39">
            <v>16265.870867358824</v>
          </cell>
          <cell r="DJ39">
            <v>0</v>
          </cell>
          <cell r="DK39">
            <v>26335</v>
          </cell>
          <cell r="DL39">
            <v>1927.14</v>
          </cell>
          <cell r="DM39">
            <v>70073.495851086889</v>
          </cell>
          <cell r="DN39">
            <v>0</v>
          </cell>
          <cell r="DO39">
            <v>0</v>
          </cell>
          <cell r="DP39">
            <v>0</v>
          </cell>
          <cell r="DQ39">
            <v>98335.635851086889</v>
          </cell>
          <cell r="DR39">
            <v>0</v>
          </cell>
          <cell r="DS39">
            <v>0</v>
          </cell>
          <cell r="DT39">
            <v>0</v>
          </cell>
          <cell r="DU39">
            <v>0</v>
          </cell>
          <cell r="DV39">
            <v>0</v>
          </cell>
          <cell r="DW39">
            <v>0</v>
          </cell>
          <cell r="DX39">
            <v>0</v>
          </cell>
          <cell r="DY39">
            <v>1633.9197212005261</v>
          </cell>
          <cell r="DZ39">
            <v>0</v>
          </cell>
          <cell r="EA39">
            <v>0</v>
          </cell>
          <cell r="EB39">
            <v>1633.9197212005261</v>
          </cell>
          <cell r="EE39">
            <v>0</v>
          </cell>
          <cell r="EH39">
            <v>0</v>
          </cell>
          <cell r="EI39">
            <v>0</v>
          </cell>
          <cell r="EK39">
            <v>0</v>
          </cell>
          <cell r="EL39">
            <v>7258</v>
          </cell>
          <cell r="EM39">
            <v>0</v>
          </cell>
          <cell r="EO39">
            <v>7258</v>
          </cell>
          <cell r="EP39">
            <v>4006.0548974060221</v>
          </cell>
          <cell r="EQ39">
            <v>97020.013996465423</v>
          </cell>
          <cell r="ER39">
            <v>805425.45555141394</v>
          </cell>
          <cell r="ET39">
            <v>245.2</v>
          </cell>
          <cell r="EU39">
            <v>3284.7693945816231</v>
          </cell>
          <cell r="EV39" t="str">
            <v>No Variation Applied</v>
          </cell>
          <cell r="EW39">
            <v>9000</v>
          </cell>
          <cell r="EX39">
            <v>0</v>
          </cell>
          <cell r="EY39">
            <v>0</v>
          </cell>
          <cell r="EZ39">
            <v>35977.345131790782</v>
          </cell>
        </row>
        <row r="40">
          <cell r="C40" t="str">
            <v>Beaufort Community Primary School</v>
          </cell>
          <cell r="D40">
            <v>2004</v>
          </cell>
          <cell r="F40" t="str">
            <v/>
          </cell>
          <cell r="G40">
            <v>0</v>
          </cell>
          <cell r="H40">
            <v>34620</v>
          </cell>
          <cell r="I40">
            <v>0</v>
          </cell>
          <cell r="J40">
            <v>0</v>
          </cell>
          <cell r="L40">
            <v>121046.44957886751</v>
          </cell>
          <cell r="M40">
            <v>34620</v>
          </cell>
          <cell r="N40">
            <v>36.442105263157892</v>
          </cell>
          <cell r="S40">
            <v>0</v>
          </cell>
          <cell r="T40">
            <v>0</v>
          </cell>
          <cell r="U40">
            <v>44</v>
          </cell>
          <cell r="Y40">
            <v>41</v>
          </cell>
          <cell r="Z40">
            <v>31</v>
          </cell>
          <cell r="AA40">
            <v>30</v>
          </cell>
          <cell r="AB40">
            <v>32</v>
          </cell>
          <cell r="AC40">
            <v>32</v>
          </cell>
          <cell r="AD40">
            <v>29</v>
          </cell>
          <cell r="AK40">
            <v>620346.31013088557</v>
          </cell>
          <cell r="AL40">
            <v>239</v>
          </cell>
          <cell r="BS40">
            <v>17175.696</v>
          </cell>
          <cell r="BT40">
            <v>0</v>
          </cell>
          <cell r="BU40">
            <v>116.05200000000001</v>
          </cell>
          <cell r="BV40">
            <v>0</v>
          </cell>
          <cell r="BW40">
            <v>0</v>
          </cell>
          <cell r="BX40">
            <v>2150.1065999999992</v>
          </cell>
          <cell r="BY40">
            <v>0</v>
          </cell>
          <cell r="BZ40">
            <v>3011.5493999999999</v>
          </cell>
          <cell r="CA40">
            <v>0</v>
          </cell>
          <cell r="CB40">
            <v>0</v>
          </cell>
          <cell r="CC40">
            <v>0</v>
          </cell>
          <cell r="CD40">
            <v>0</v>
          </cell>
          <cell r="CE40">
            <v>22453.403999999999</v>
          </cell>
          <cell r="CF40">
            <v>22680.611130037629</v>
          </cell>
          <cell r="CI40">
            <v>0</v>
          </cell>
          <cell r="CJ40">
            <v>0</v>
          </cell>
          <cell r="CK40">
            <v>4850.9799999999996</v>
          </cell>
          <cell r="CL40">
            <v>1488.9847530423201</v>
          </cell>
          <cell r="CM40">
            <v>29020.57588307995</v>
          </cell>
          <cell r="CQ40">
            <v>8379.0405539070216</v>
          </cell>
          <cell r="CR40">
            <v>1406.8</v>
          </cell>
          <cell r="CS40">
            <v>2829.1936421176256</v>
          </cell>
          <cell r="CT40">
            <v>12615.034196024646</v>
          </cell>
          <cell r="CU40">
            <v>0</v>
          </cell>
          <cell r="CV40">
            <v>0</v>
          </cell>
          <cell r="CW40">
            <v>0</v>
          </cell>
          <cell r="CX40">
            <v>0</v>
          </cell>
          <cell r="CZ40">
            <v>0</v>
          </cell>
          <cell r="DC40">
            <v>0</v>
          </cell>
          <cell r="DD40">
            <v>176965.84960928748</v>
          </cell>
          <cell r="DE40">
            <v>136883.62162950006</v>
          </cell>
          <cell r="DF40">
            <v>17122.348495052349</v>
          </cell>
          <cell r="DG40">
            <v>0</v>
          </cell>
          <cell r="DH40">
            <v>0</v>
          </cell>
          <cell r="DI40">
            <v>330971.81973383989</v>
          </cell>
          <cell r="DJ40">
            <v>0</v>
          </cell>
          <cell r="DK40">
            <v>14427</v>
          </cell>
          <cell r="DL40">
            <v>17735.38</v>
          </cell>
          <cell r="DM40">
            <v>70073.495851086889</v>
          </cell>
          <cell r="DN40">
            <v>0</v>
          </cell>
          <cell r="DO40">
            <v>0</v>
          </cell>
          <cell r="DP40">
            <v>0</v>
          </cell>
          <cell r="DQ40">
            <v>102235.87585108689</v>
          </cell>
          <cell r="DR40">
            <v>0</v>
          </cell>
          <cell r="DS40">
            <v>0</v>
          </cell>
          <cell r="DT40">
            <v>0</v>
          </cell>
          <cell r="DU40">
            <v>0</v>
          </cell>
          <cell r="DV40">
            <v>0</v>
          </cell>
          <cell r="DW40">
            <v>0</v>
          </cell>
          <cell r="DX40">
            <v>0</v>
          </cell>
          <cell r="DY40">
            <v>7516.0307175224198</v>
          </cell>
          <cell r="DZ40">
            <v>0</v>
          </cell>
          <cell r="EA40">
            <v>0</v>
          </cell>
          <cell r="EB40">
            <v>7516.0307175224198</v>
          </cell>
          <cell r="EE40">
            <v>0</v>
          </cell>
          <cell r="EH40">
            <v>0</v>
          </cell>
          <cell r="EI40">
            <v>0</v>
          </cell>
          <cell r="EK40">
            <v>0</v>
          </cell>
          <cell r="EL40">
            <v>0</v>
          </cell>
          <cell r="EM40">
            <v>0</v>
          </cell>
          <cell r="EO40">
            <v>0</v>
          </cell>
          <cell r="EP40">
            <v>131618.87808295595</v>
          </cell>
          <cell r="EQ40">
            <v>143499.85357886751</v>
          </cell>
          <cell r="ER40">
            <v>1377824.3781742626</v>
          </cell>
          <cell r="ET40">
            <v>275.44210526315788</v>
          </cell>
          <cell r="EU40">
            <v>5002.228605745976</v>
          </cell>
          <cell r="EV40" t="str">
            <v>No Variation Applied</v>
          </cell>
          <cell r="EW40">
            <v>93000</v>
          </cell>
          <cell r="EX40">
            <v>0</v>
          </cell>
          <cell r="EY40">
            <v>0</v>
          </cell>
          <cell r="EZ40">
            <v>224542.26558511236</v>
          </cell>
        </row>
        <row r="41">
          <cell r="C41" t="str">
            <v>Ashgate Primary School</v>
          </cell>
          <cell r="D41">
            <v>2005</v>
          </cell>
          <cell r="F41" t="str">
            <v/>
          </cell>
          <cell r="G41">
            <v>0</v>
          </cell>
          <cell r="H41">
            <v>0</v>
          </cell>
          <cell r="I41">
            <v>0</v>
          </cell>
          <cell r="J41">
            <v>0</v>
          </cell>
          <cell r="L41">
            <v>0</v>
          </cell>
          <cell r="M41">
            <v>0</v>
          </cell>
          <cell r="N41">
            <v>0</v>
          </cell>
          <cell r="S41">
            <v>0</v>
          </cell>
          <cell r="T41">
            <v>0</v>
          </cell>
          <cell r="U41">
            <v>44</v>
          </cell>
          <cell r="Y41">
            <v>41</v>
          </cell>
          <cell r="Z41">
            <v>42</v>
          </cell>
          <cell r="AA41">
            <v>39</v>
          </cell>
          <cell r="AB41">
            <v>40</v>
          </cell>
          <cell r="AC41">
            <v>38</v>
          </cell>
          <cell r="AD41">
            <v>27</v>
          </cell>
          <cell r="AK41">
            <v>701255.30030860484</v>
          </cell>
          <cell r="AL41">
            <v>271</v>
          </cell>
          <cell r="BS41">
            <v>0</v>
          </cell>
          <cell r="BT41">
            <v>0</v>
          </cell>
          <cell r="BU41">
            <v>0</v>
          </cell>
          <cell r="BV41">
            <v>0</v>
          </cell>
          <cell r="BW41">
            <v>0</v>
          </cell>
          <cell r="BX41">
            <v>0</v>
          </cell>
          <cell r="BY41">
            <v>0</v>
          </cell>
          <cell r="BZ41">
            <v>0</v>
          </cell>
          <cell r="CA41">
            <v>0</v>
          </cell>
          <cell r="CB41">
            <v>0</v>
          </cell>
          <cell r="CC41">
            <v>0</v>
          </cell>
          <cell r="CD41">
            <v>0</v>
          </cell>
          <cell r="CE41">
            <v>0</v>
          </cell>
          <cell r="CF41">
            <v>22680.611130037629</v>
          </cell>
          <cell r="CI41">
            <v>0</v>
          </cell>
          <cell r="CJ41">
            <v>0</v>
          </cell>
          <cell r="CK41">
            <v>5500.49</v>
          </cell>
          <cell r="CL41">
            <v>2245.0196470289243</v>
          </cell>
          <cell r="CM41">
            <v>30426.12077706655</v>
          </cell>
          <cell r="CQ41">
            <v>9140.7715133531146</v>
          </cell>
          <cell r="CR41">
            <v>8038.86</v>
          </cell>
          <cell r="CS41">
            <v>5658.3872842352512</v>
          </cell>
          <cell r="CT41">
            <v>22838.018797588364</v>
          </cell>
          <cell r="CU41">
            <v>0</v>
          </cell>
          <cell r="CV41">
            <v>0</v>
          </cell>
          <cell r="CW41">
            <v>0</v>
          </cell>
          <cell r="CX41">
            <v>0</v>
          </cell>
          <cell r="CZ41">
            <v>0</v>
          </cell>
          <cell r="DC41">
            <v>0</v>
          </cell>
          <cell r="DD41">
            <v>150671.6737881742</v>
          </cell>
          <cell r="DE41">
            <v>95500.201136860516</v>
          </cell>
          <cell r="DF41">
            <v>6848.9393980209397</v>
          </cell>
          <cell r="DG41">
            <v>0</v>
          </cell>
          <cell r="DH41">
            <v>0</v>
          </cell>
          <cell r="DI41">
            <v>253020.81432305565</v>
          </cell>
          <cell r="DJ41">
            <v>0</v>
          </cell>
          <cell r="DK41">
            <v>14427</v>
          </cell>
          <cell r="DL41">
            <v>8293.5400000000009</v>
          </cell>
          <cell r="DM41">
            <v>70073.495851086889</v>
          </cell>
          <cell r="DN41">
            <v>0</v>
          </cell>
          <cell r="DO41">
            <v>0</v>
          </cell>
          <cell r="DP41">
            <v>0</v>
          </cell>
          <cell r="DQ41">
            <v>92794.035851086897</v>
          </cell>
          <cell r="DR41">
            <v>0</v>
          </cell>
          <cell r="DS41">
            <v>0</v>
          </cell>
          <cell r="DT41">
            <v>0</v>
          </cell>
          <cell r="DU41">
            <v>0</v>
          </cell>
          <cell r="DV41">
            <v>0</v>
          </cell>
          <cell r="DW41">
            <v>0</v>
          </cell>
          <cell r="DX41">
            <v>0</v>
          </cell>
          <cell r="DY41">
            <v>6208.8949405619987</v>
          </cell>
          <cell r="DZ41">
            <v>0</v>
          </cell>
          <cell r="EA41">
            <v>0</v>
          </cell>
          <cell r="EB41">
            <v>6208.8949405619987</v>
          </cell>
          <cell r="EE41">
            <v>0</v>
          </cell>
          <cell r="EH41">
            <v>0</v>
          </cell>
          <cell r="EI41">
            <v>0</v>
          </cell>
          <cell r="EK41">
            <v>0</v>
          </cell>
          <cell r="EL41">
            <v>0</v>
          </cell>
          <cell r="EM41">
            <v>0</v>
          </cell>
          <cell r="EO41">
            <v>0</v>
          </cell>
          <cell r="EP41">
            <v>0</v>
          </cell>
          <cell r="EQ41">
            <v>0</v>
          </cell>
          <cell r="ER41">
            <v>1106543.1849979644</v>
          </cell>
          <cell r="ET41">
            <v>271</v>
          </cell>
          <cell r="EU41">
            <v>4083.1851844943335</v>
          </cell>
          <cell r="EV41" t="str">
            <v>No Variation Applied</v>
          </cell>
          <cell r="EW41">
            <v>85800</v>
          </cell>
          <cell r="EX41">
            <v>0</v>
          </cell>
          <cell r="EY41">
            <v>0</v>
          </cell>
          <cell r="EZ41">
            <v>192275.93961221055</v>
          </cell>
        </row>
        <row r="42">
          <cell r="C42" t="str">
            <v>Homefields Primary School</v>
          </cell>
          <cell r="D42">
            <v>2006</v>
          </cell>
          <cell r="F42" t="str">
            <v/>
          </cell>
          <cell r="G42">
            <v>0</v>
          </cell>
          <cell r="H42">
            <v>27144</v>
          </cell>
          <cell r="I42">
            <v>0</v>
          </cell>
          <cell r="J42">
            <v>0</v>
          </cell>
          <cell r="L42">
            <v>94907.129617815706</v>
          </cell>
          <cell r="M42">
            <v>27144</v>
          </cell>
          <cell r="N42">
            <v>28.572631578947369</v>
          </cell>
          <cell r="S42">
            <v>0</v>
          </cell>
          <cell r="T42">
            <v>0</v>
          </cell>
          <cell r="U42">
            <v>31</v>
          </cell>
          <cell r="Y42">
            <v>30</v>
          </cell>
          <cell r="Z42">
            <v>30</v>
          </cell>
          <cell r="AA42">
            <v>32</v>
          </cell>
          <cell r="AB42">
            <v>32</v>
          </cell>
          <cell r="AC42">
            <v>33</v>
          </cell>
          <cell r="AD42">
            <v>32</v>
          </cell>
          <cell r="AK42">
            <v>568570.04040945694</v>
          </cell>
          <cell r="AL42">
            <v>220</v>
          </cell>
          <cell r="BS42">
            <v>580.26</v>
          </cell>
          <cell r="BT42">
            <v>0</v>
          </cell>
          <cell r="BU42">
            <v>0</v>
          </cell>
          <cell r="BV42">
            <v>0</v>
          </cell>
          <cell r="BW42">
            <v>0</v>
          </cell>
          <cell r="BX42">
            <v>2490.4785858862451</v>
          </cell>
          <cell r="BY42">
            <v>0</v>
          </cell>
          <cell r="BZ42">
            <v>0</v>
          </cell>
          <cell r="CA42">
            <v>0</v>
          </cell>
          <cell r="CB42">
            <v>0</v>
          </cell>
          <cell r="CC42">
            <v>0</v>
          </cell>
          <cell r="CD42">
            <v>0</v>
          </cell>
          <cell r="CE42">
            <v>3070.7385858862453</v>
          </cell>
          <cell r="CF42">
            <v>11340.305565018814</v>
          </cell>
          <cell r="CI42">
            <v>0</v>
          </cell>
          <cell r="CJ42">
            <v>0</v>
          </cell>
          <cell r="CK42">
            <v>4465.34</v>
          </cell>
          <cell r="CL42">
            <v>3608.9604608622635</v>
          </cell>
          <cell r="CM42">
            <v>19414.606025881079</v>
          </cell>
          <cell r="CQ42">
            <v>4570.3857566765573</v>
          </cell>
          <cell r="CR42">
            <v>3416.51</v>
          </cell>
          <cell r="CS42">
            <v>1010.4263007562949</v>
          </cell>
          <cell r="CT42">
            <v>8997.3220574328516</v>
          </cell>
          <cell r="CU42">
            <v>8634.3114091847365</v>
          </cell>
          <cell r="CV42">
            <v>0</v>
          </cell>
          <cell r="CW42">
            <v>8634.3114091847365</v>
          </cell>
          <cell r="CX42">
            <v>0</v>
          </cell>
          <cell r="CZ42">
            <v>0</v>
          </cell>
          <cell r="DC42">
            <v>0</v>
          </cell>
          <cell r="DD42">
            <v>17003.468716625706</v>
          </cell>
          <cell r="DE42">
            <v>8867.8758198513333</v>
          </cell>
          <cell r="DF42">
            <v>4280.5871237630872</v>
          </cell>
          <cell r="DG42">
            <v>0</v>
          </cell>
          <cell r="DH42">
            <v>0</v>
          </cell>
          <cell r="DI42">
            <v>30151.931660240123</v>
          </cell>
          <cell r="DJ42">
            <v>0</v>
          </cell>
          <cell r="DK42">
            <v>26793</v>
          </cell>
          <cell r="DL42">
            <v>1819.74</v>
          </cell>
          <cell r="DM42">
            <v>70073.495851086889</v>
          </cell>
          <cell r="DN42">
            <v>0</v>
          </cell>
          <cell r="DO42">
            <v>0</v>
          </cell>
          <cell r="DP42">
            <v>0</v>
          </cell>
          <cell r="DQ42">
            <v>98686.235851086894</v>
          </cell>
          <cell r="DR42">
            <v>0</v>
          </cell>
          <cell r="DS42">
            <v>0</v>
          </cell>
          <cell r="DT42">
            <v>0</v>
          </cell>
          <cell r="DU42">
            <v>0</v>
          </cell>
          <cell r="DV42">
            <v>0</v>
          </cell>
          <cell r="DW42">
            <v>0</v>
          </cell>
          <cell r="DX42">
            <v>0</v>
          </cell>
          <cell r="DY42">
            <v>2941.0554981609466</v>
          </cell>
          <cell r="DZ42">
            <v>0</v>
          </cell>
          <cell r="EA42">
            <v>0</v>
          </cell>
          <cell r="EB42">
            <v>2941.0554981609466</v>
          </cell>
          <cell r="EE42">
            <v>0</v>
          </cell>
          <cell r="EH42">
            <v>0</v>
          </cell>
          <cell r="EI42">
            <v>0</v>
          </cell>
          <cell r="EK42">
            <v>0</v>
          </cell>
          <cell r="EL42">
            <v>0</v>
          </cell>
          <cell r="EM42">
            <v>0</v>
          </cell>
          <cell r="EO42">
            <v>0</v>
          </cell>
          <cell r="EP42">
            <v>37617.409550808487</v>
          </cell>
          <cell r="EQ42">
            <v>97977.868203701946</v>
          </cell>
          <cell r="ER42">
            <v>872990.78066595411</v>
          </cell>
          <cell r="ET42">
            <v>248.57263157894738</v>
          </cell>
          <cell r="EU42">
            <v>3512.0148791951369</v>
          </cell>
          <cell r="EV42" t="str">
            <v>No Variation Applied</v>
          </cell>
          <cell r="EW42">
            <v>10600</v>
          </cell>
          <cell r="EX42">
            <v>0</v>
          </cell>
          <cell r="EY42">
            <v>0</v>
          </cell>
          <cell r="EZ42">
            <v>50073.978998367005</v>
          </cell>
        </row>
        <row r="43">
          <cell r="C43" t="str">
            <v>Allenton Community Primary School</v>
          </cell>
          <cell r="D43">
            <v>2400</v>
          </cell>
          <cell r="F43" t="str">
            <v/>
          </cell>
          <cell r="G43">
            <v>0</v>
          </cell>
          <cell r="H43">
            <v>0</v>
          </cell>
          <cell r="I43">
            <v>0</v>
          </cell>
          <cell r="J43">
            <v>0</v>
          </cell>
          <cell r="L43">
            <v>0</v>
          </cell>
          <cell r="M43">
            <v>0</v>
          </cell>
          <cell r="N43">
            <v>0</v>
          </cell>
          <cell r="S43">
            <v>0</v>
          </cell>
          <cell r="T43">
            <v>0</v>
          </cell>
          <cell r="U43">
            <v>50</v>
          </cell>
          <cell r="Y43">
            <v>40</v>
          </cell>
          <cell r="Z43">
            <v>35</v>
          </cell>
          <cell r="AA43">
            <v>44</v>
          </cell>
          <cell r="AB43">
            <v>31</v>
          </cell>
          <cell r="AC43">
            <v>32</v>
          </cell>
          <cell r="AD43">
            <v>25</v>
          </cell>
          <cell r="AK43">
            <v>668261.70425534295</v>
          </cell>
          <cell r="AL43">
            <v>257</v>
          </cell>
          <cell r="BS43">
            <v>0</v>
          </cell>
          <cell r="BT43">
            <v>0</v>
          </cell>
          <cell r="BU43">
            <v>0</v>
          </cell>
          <cell r="BV43">
            <v>0</v>
          </cell>
          <cell r="BW43">
            <v>0</v>
          </cell>
          <cell r="BX43">
            <v>0</v>
          </cell>
          <cell r="BY43">
            <v>0</v>
          </cell>
          <cell r="BZ43">
            <v>0</v>
          </cell>
          <cell r="CA43">
            <v>0</v>
          </cell>
          <cell r="CB43">
            <v>0</v>
          </cell>
          <cell r="CC43">
            <v>0</v>
          </cell>
          <cell r="CD43">
            <v>0</v>
          </cell>
          <cell r="CE43">
            <v>0</v>
          </cell>
          <cell r="CF43">
            <v>22680.611130037629</v>
          </cell>
          <cell r="CI43">
            <v>0</v>
          </cell>
          <cell r="CJ43">
            <v>0</v>
          </cell>
          <cell r="CK43">
            <v>5216.33</v>
          </cell>
          <cell r="CL43">
            <v>1932.7304244916245</v>
          </cell>
          <cell r="CM43">
            <v>29829.671554529254</v>
          </cell>
          <cell r="CQ43">
            <v>9140.7715133531146</v>
          </cell>
          <cell r="CR43">
            <v>9043.7099999999991</v>
          </cell>
          <cell r="CS43">
            <v>5052.1315037814747</v>
          </cell>
          <cell r="CT43">
            <v>23236.61301713459</v>
          </cell>
          <cell r="CU43">
            <v>0</v>
          </cell>
          <cell r="CV43">
            <v>0</v>
          </cell>
          <cell r="CW43">
            <v>0</v>
          </cell>
          <cell r="CX43">
            <v>0</v>
          </cell>
          <cell r="CZ43">
            <v>0</v>
          </cell>
          <cell r="DC43">
            <v>0</v>
          </cell>
          <cell r="DD43">
            <v>212432.75530181554</v>
          </cell>
          <cell r="DE43">
            <v>169853.92916484477</v>
          </cell>
          <cell r="DF43">
            <v>11985.643946536644</v>
          </cell>
          <cell r="DG43">
            <v>0</v>
          </cell>
          <cell r="DH43">
            <v>0</v>
          </cell>
          <cell r="DI43">
            <v>394272.32841319696</v>
          </cell>
          <cell r="DJ43">
            <v>0</v>
          </cell>
          <cell r="DK43">
            <v>27251</v>
          </cell>
          <cell r="DL43">
            <v>4765.08</v>
          </cell>
          <cell r="DM43">
            <v>70073.495851086889</v>
          </cell>
          <cell r="DN43">
            <v>0</v>
          </cell>
          <cell r="DO43">
            <v>0</v>
          </cell>
          <cell r="DP43">
            <v>0</v>
          </cell>
          <cell r="DQ43">
            <v>102089.57585108689</v>
          </cell>
          <cell r="DR43">
            <v>0</v>
          </cell>
          <cell r="DS43">
            <v>0</v>
          </cell>
          <cell r="DT43">
            <v>0</v>
          </cell>
          <cell r="DU43">
            <v>0</v>
          </cell>
          <cell r="DV43">
            <v>0</v>
          </cell>
          <cell r="DW43">
            <v>0</v>
          </cell>
          <cell r="DX43">
            <v>0</v>
          </cell>
          <cell r="DY43">
            <v>5555.3270520817887</v>
          </cell>
          <cell r="DZ43">
            <v>0</v>
          </cell>
          <cell r="EA43">
            <v>0</v>
          </cell>
          <cell r="EB43">
            <v>5555.3270520817887</v>
          </cell>
          <cell r="EE43">
            <v>0</v>
          </cell>
          <cell r="EH43">
            <v>0</v>
          </cell>
          <cell r="EI43">
            <v>0</v>
          </cell>
          <cell r="EK43">
            <v>0</v>
          </cell>
          <cell r="EL43">
            <v>0</v>
          </cell>
          <cell r="EM43">
            <v>0</v>
          </cell>
          <cell r="EO43">
            <v>0</v>
          </cell>
          <cell r="EP43">
            <v>0</v>
          </cell>
          <cell r="EQ43">
            <v>0</v>
          </cell>
          <cell r="ER43">
            <v>1223245.2201433724</v>
          </cell>
          <cell r="ET43">
            <v>257</v>
          </cell>
          <cell r="EU43">
            <v>4759.7090277952238</v>
          </cell>
          <cell r="EV43" t="str">
            <v>No Variation Applied</v>
          </cell>
          <cell r="EW43">
            <v>102000</v>
          </cell>
          <cell r="EX43">
            <v>0</v>
          </cell>
          <cell r="EY43">
            <v>0</v>
          </cell>
          <cell r="EZ43">
            <v>258937.79302718112</v>
          </cell>
        </row>
        <row r="44">
          <cell r="C44" t="str">
            <v>Becket Primary School</v>
          </cell>
          <cell r="D44">
            <v>2405</v>
          </cell>
          <cell r="F44" t="str">
            <v/>
          </cell>
          <cell r="G44">
            <v>0</v>
          </cell>
          <cell r="H44">
            <v>23310</v>
          </cell>
          <cell r="I44">
            <v>0</v>
          </cell>
          <cell r="J44">
            <v>0</v>
          </cell>
          <cell r="L44">
            <v>81501.812238110972</v>
          </cell>
          <cell r="M44">
            <v>23310</v>
          </cell>
          <cell r="N44">
            <v>24.536842105263158</v>
          </cell>
          <cell r="S44">
            <v>0</v>
          </cell>
          <cell r="T44">
            <v>0</v>
          </cell>
          <cell r="U44">
            <v>30</v>
          </cell>
          <cell r="Y44">
            <v>29</v>
          </cell>
          <cell r="Z44">
            <v>28</v>
          </cell>
          <cell r="AA44">
            <v>29</v>
          </cell>
          <cell r="AB44">
            <v>22</v>
          </cell>
          <cell r="AC44">
            <v>24</v>
          </cell>
          <cell r="AD44">
            <v>21</v>
          </cell>
          <cell r="AK44">
            <v>473525.26908745419</v>
          </cell>
          <cell r="AL44">
            <v>183</v>
          </cell>
          <cell r="BS44">
            <v>10560.732</v>
          </cell>
          <cell r="BT44">
            <v>0</v>
          </cell>
          <cell r="BU44">
            <v>1856.8320000000001</v>
          </cell>
          <cell r="BV44">
            <v>0</v>
          </cell>
          <cell r="BW44">
            <v>0</v>
          </cell>
          <cell r="BX44">
            <v>-12455.373399999997</v>
          </cell>
          <cell r="BY44">
            <v>0</v>
          </cell>
          <cell r="BZ44">
            <v>3011.5493999999999</v>
          </cell>
          <cell r="CA44">
            <v>0</v>
          </cell>
          <cell r="CB44">
            <v>0</v>
          </cell>
          <cell r="CC44">
            <v>0</v>
          </cell>
          <cell r="CD44">
            <v>0</v>
          </cell>
          <cell r="CE44">
            <v>2973.7400000000034</v>
          </cell>
          <cell r="CF44">
            <v>11340.305565018814</v>
          </cell>
          <cell r="CI44">
            <v>0</v>
          </cell>
          <cell r="CJ44">
            <v>0</v>
          </cell>
          <cell r="CK44">
            <v>3714.35</v>
          </cell>
          <cell r="CL44">
            <v>1508.222282151394</v>
          </cell>
          <cell r="CM44">
            <v>16562.87784717021</v>
          </cell>
          <cell r="CQ44">
            <v>10664.233432245301</v>
          </cell>
          <cell r="CR44">
            <v>6833.03</v>
          </cell>
          <cell r="CS44">
            <v>5456.3020240839924</v>
          </cell>
          <cell r="CT44">
            <v>22953.565456329292</v>
          </cell>
          <cell r="CU44">
            <v>22524.290632655837</v>
          </cell>
          <cell r="CV44">
            <v>0</v>
          </cell>
          <cell r="CW44">
            <v>22524.290632655837</v>
          </cell>
          <cell r="CX44">
            <v>100923.30180935774</v>
          </cell>
          <cell r="CZ44">
            <v>100923.30180935774</v>
          </cell>
          <cell r="DC44">
            <v>0</v>
          </cell>
          <cell r="DD44">
            <v>124982.13128655929</v>
          </cell>
          <cell r="DE44">
            <v>85495.418160617977</v>
          </cell>
          <cell r="DF44">
            <v>14553.996220794497</v>
          </cell>
          <cell r="DG44">
            <v>0</v>
          </cell>
          <cell r="DH44">
            <v>0</v>
          </cell>
          <cell r="DI44">
            <v>225031.54566797178</v>
          </cell>
          <cell r="DJ44">
            <v>0</v>
          </cell>
          <cell r="DK44">
            <v>12595</v>
          </cell>
          <cell r="DL44">
            <v>4311.09</v>
          </cell>
          <cell r="DM44">
            <v>70073.495851086889</v>
          </cell>
          <cell r="DN44">
            <v>0</v>
          </cell>
          <cell r="DO44">
            <v>0</v>
          </cell>
          <cell r="DP44">
            <v>0</v>
          </cell>
          <cell r="DQ44">
            <v>86979.585851086886</v>
          </cell>
          <cell r="DR44">
            <v>0</v>
          </cell>
          <cell r="DS44">
            <v>0</v>
          </cell>
          <cell r="DT44">
            <v>0</v>
          </cell>
          <cell r="DU44">
            <v>0</v>
          </cell>
          <cell r="DV44">
            <v>0</v>
          </cell>
          <cell r="DW44">
            <v>0</v>
          </cell>
          <cell r="DX44">
            <v>0</v>
          </cell>
          <cell r="DY44">
            <v>7842.8146617625243</v>
          </cell>
          <cell r="DZ44">
            <v>0</v>
          </cell>
          <cell r="EA44">
            <v>0</v>
          </cell>
          <cell r="EB44">
            <v>7842.8146617625243</v>
          </cell>
          <cell r="EE44">
            <v>0</v>
          </cell>
          <cell r="EH44">
            <v>0</v>
          </cell>
          <cell r="EI44">
            <v>0</v>
          </cell>
          <cell r="EK44">
            <v>0</v>
          </cell>
          <cell r="EL44">
            <v>9260</v>
          </cell>
          <cell r="EM44">
            <v>0</v>
          </cell>
          <cell r="EO44">
            <v>9260</v>
          </cell>
          <cell r="EP44">
            <v>11367.63220066228</v>
          </cell>
          <cell r="EQ44">
            <v>84475.552238110977</v>
          </cell>
          <cell r="ER44">
            <v>1061446.4354525616</v>
          </cell>
          <cell r="ET44">
            <v>207.53684210526316</v>
          </cell>
          <cell r="EU44">
            <v>5114.4964175285731</v>
          </cell>
          <cell r="EV44" t="str">
            <v>No Variation Applied</v>
          </cell>
          <cell r="EW44">
            <v>63500</v>
          </cell>
          <cell r="EX44">
            <v>0</v>
          </cell>
          <cell r="EY44">
            <v>0</v>
          </cell>
          <cell r="EZ44">
            <v>300867.91521789314</v>
          </cell>
        </row>
        <row r="45">
          <cell r="C45" t="str">
            <v>Boulton Primary School</v>
          </cell>
          <cell r="D45">
            <v>2407</v>
          </cell>
          <cell r="E45" t="str">
            <v>Converter</v>
          </cell>
          <cell r="F45">
            <v>41153</v>
          </cell>
          <cell r="G45">
            <v>0</v>
          </cell>
          <cell r="H45">
            <v>22830</v>
          </cell>
          <cell r="I45">
            <v>0</v>
          </cell>
          <cell r="J45">
            <v>0</v>
          </cell>
          <cell r="L45">
            <v>79823.525242216798</v>
          </cell>
          <cell r="M45">
            <v>22830</v>
          </cell>
          <cell r="N45">
            <v>24.03157894736842</v>
          </cell>
          <cell r="S45">
            <v>0</v>
          </cell>
          <cell r="T45">
            <v>0</v>
          </cell>
          <cell r="U45">
            <v>37</v>
          </cell>
          <cell r="Y45">
            <v>51</v>
          </cell>
          <cell r="Z45">
            <v>32</v>
          </cell>
          <cell r="AA45">
            <v>39</v>
          </cell>
          <cell r="AB45">
            <v>29</v>
          </cell>
          <cell r="AC45">
            <v>31</v>
          </cell>
          <cell r="AD45">
            <v>25</v>
          </cell>
          <cell r="AK45">
            <v>629521.78068105795</v>
          </cell>
          <cell r="AL45">
            <v>244</v>
          </cell>
          <cell r="BS45">
            <v>13229.928</v>
          </cell>
          <cell r="BT45">
            <v>0</v>
          </cell>
          <cell r="BU45">
            <v>812.36400000000003</v>
          </cell>
          <cell r="BV45">
            <v>0</v>
          </cell>
          <cell r="BW45">
            <v>0</v>
          </cell>
          <cell r="BX45">
            <v>5100.8629999999976</v>
          </cell>
          <cell r="BY45">
            <v>0</v>
          </cell>
          <cell r="BZ45">
            <v>5019.2489999999998</v>
          </cell>
          <cell r="CA45">
            <v>0</v>
          </cell>
          <cell r="CB45">
            <v>0</v>
          </cell>
          <cell r="CC45">
            <v>0</v>
          </cell>
          <cell r="CD45">
            <v>0</v>
          </cell>
          <cell r="CE45">
            <v>24162.403999999999</v>
          </cell>
          <cell r="CF45">
            <v>22680.611130037629</v>
          </cell>
          <cell r="CI45">
            <v>0</v>
          </cell>
          <cell r="CJ45">
            <v>0</v>
          </cell>
          <cell r="CK45">
            <v>4952.47</v>
          </cell>
          <cell r="CL45">
            <v>927.2489030573621</v>
          </cell>
          <cell r="CM45">
            <v>28560.330033094993</v>
          </cell>
          <cell r="CQ45">
            <v>6855.5786350148364</v>
          </cell>
          <cell r="CR45">
            <v>6833.03</v>
          </cell>
          <cell r="CS45">
            <v>5658.3872842352512</v>
          </cell>
          <cell r="CT45">
            <v>19346.995919250086</v>
          </cell>
          <cell r="CU45">
            <v>11137.010368368719</v>
          </cell>
          <cell r="CV45">
            <v>9009.7162530623336</v>
          </cell>
          <cell r="CW45">
            <v>20146.726621431051</v>
          </cell>
          <cell r="CX45">
            <v>0</v>
          </cell>
          <cell r="CZ45">
            <v>0</v>
          </cell>
          <cell r="DC45">
            <v>0</v>
          </cell>
          <cell r="DD45">
            <v>159121.79310701767</v>
          </cell>
          <cell r="DE45">
            <v>131653.84871010057</v>
          </cell>
          <cell r="DF45">
            <v>23115.17046832067</v>
          </cell>
          <cell r="DG45">
            <v>0</v>
          </cell>
          <cell r="DH45">
            <v>0</v>
          </cell>
          <cell r="DI45">
            <v>313890.81228543894</v>
          </cell>
          <cell r="DJ45">
            <v>0</v>
          </cell>
          <cell r="DK45">
            <v>14240.29</v>
          </cell>
          <cell r="DL45">
            <v>9409.0300000000007</v>
          </cell>
          <cell r="DM45">
            <v>70073.495851086889</v>
          </cell>
          <cell r="DN45">
            <v>0</v>
          </cell>
          <cell r="DO45">
            <v>0</v>
          </cell>
          <cell r="DP45">
            <v>0</v>
          </cell>
          <cell r="DQ45">
            <v>93722.815851086896</v>
          </cell>
          <cell r="DR45">
            <v>0</v>
          </cell>
          <cell r="DS45">
            <v>0</v>
          </cell>
          <cell r="DT45">
            <v>0</v>
          </cell>
          <cell r="DU45">
            <v>0</v>
          </cell>
          <cell r="DV45">
            <v>0</v>
          </cell>
          <cell r="DW45">
            <v>0</v>
          </cell>
          <cell r="DX45">
            <v>0</v>
          </cell>
          <cell r="DY45">
            <v>12744.573825364103</v>
          </cell>
          <cell r="DZ45">
            <v>0</v>
          </cell>
          <cell r="EA45">
            <v>0</v>
          </cell>
          <cell r="EB45">
            <v>12744.573825364103</v>
          </cell>
          <cell r="EE45">
            <v>0</v>
          </cell>
          <cell r="EH45">
            <v>0</v>
          </cell>
          <cell r="EI45">
            <v>0</v>
          </cell>
          <cell r="EK45">
            <v>0</v>
          </cell>
          <cell r="EL45">
            <v>13264</v>
          </cell>
          <cell r="EM45">
            <v>0</v>
          </cell>
          <cell r="EO45">
            <v>13264</v>
          </cell>
          <cell r="EP45">
            <v>0</v>
          </cell>
          <cell r="EQ45">
            <v>103985.92924221679</v>
          </cell>
          <cell r="ER45">
            <v>1235183.9644589408</v>
          </cell>
          <cell r="ET45">
            <v>268.03157894736842</v>
          </cell>
          <cell r="EU45">
            <v>4608.3523788869879</v>
          </cell>
          <cell r="EV45" t="str">
            <v>No Variation Applied</v>
          </cell>
          <cell r="EW45">
            <v>82600</v>
          </cell>
          <cell r="EX45">
            <v>0</v>
          </cell>
          <cell r="EY45">
            <v>0</v>
          </cell>
          <cell r="EZ45">
            <v>244882.80002317223</v>
          </cell>
        </row>
        <row r="46">
          <cell r="C46" t="str">
            <v>Dale Community Primary School</v>
          </cell>
          <cell r="D46">
            <v>2409</v>
          </cell>
          <cell r="F46" t="str">
            <v/>
          </cell>
          <cell r="G46">
            <v>0</v>
          </cell>
          <cell r="H46">
            <v>0</v>
          </cell>
          <cell r="I46">
            <v>0</v>
          </cell>
          <cell r="J46">
            <v>0</v>
          </cell>
          <cell r="L46">
            <v>0</v>
          </cell>
          <cell r="M46">
            <v>0</v>
          </cell>
          <cell r="N46">
            <v>0</v>
          </cell>
          <cell r="S46">
            <v>0</v>
          </cell>
          <cell r="T46">
            <v>0</v>
          </cell>
          <cell r="U46">
            <v>81</v>
          </cell>
          <cell r="Y46">
            <v>75</v>
          </cell>
          <cell r="Z46">
            <v>77</v>
          </cell>
          <cell r="AA46">
            <v>82</v>
          </cell>
          <cell r="AB46">
            <v>81</v>
          </cell>
          <cell r="AC46">
            <v>81</v>
          </cell>
          <cell r="AD46">
            <v>78</v>
          </cell>
          <cell r="AK46">
            <v>1435214.8369799773</v>
          </cell>
          <cell r="AL46">
            <v>555</v>
          </cell>
          <cell r="BS46">
            <v>0</v>
          </cell>
          <cell r="BT46">
            <v>0</v>
          </cell>
          <cell r="BU46">
            <v>0</v>
          </cell>
          <cell r="BV46">
            <v>0</v>
          </cell>
          <cell r="BW46">
            <v>0</v>
          </cell>
          <cell r="BX46">
            <v>0</v>
          </cell>
          <cell r="BY46">
            <v>0</v>
          </cell>
          <cell r="BZ46">
            <v>0</v>
          </cell>
          <cell r="CA46">
            <v>0</v>
          </cell>
          <cell r="CB46">
            <v>0</v>
          </cell>
          <cell r="CC46">
            <v>0</v>
          </cell>
          <cell r="CD46">
            <v>0</v>
          </cell>
          <cell r="CE46">
            <v>0</v>
          </cell>
          <cell r="CF46">
            <v>34020.916695056439</v>
          </cell>
          <cell r="CI46">
            <v>0</v>
          </cell>
          <cell r="CJ46">
            <v>0</v>
          </cell>
          <cell r="CK46">
            <v>11264.83</v>
          </cell>
          <cell r="CL46">
            <v>5744.3261919694669</v>
          </cell>
          <cell r="CM46">
            <v>51030.072887025904</v>
          </cell>
          <cell r="CQ46">
            <v>23613.659742828881</v>
          </cell>
          <cell r="CR46">
            <v>81393.429999999993</v>
          </cell>
          <cell r="CS46">
            <v>91544.622848520317</v>
          </cell>
          <cell r="CT46">
            <v>196551.71259134921</v>
          </cell>
          <cell r="CU46">
            <v>16517.813130614279</v>
          </cell>
          <cell r="CV46">
            <v>0</v>
          </cell>
          <cell r="CW46">
            <v>16517.813130614279</v>
          </cell>
          <cell r="CX46">
            <v>0</v>
          </cell>
          <cell r="CZ46">
            <v>0</v>
          </cell>
          <cell r="DC46">
            <v>0</v>
          </cell>
          <cell r="DD46">
            <v>176951.10245515336</v>
          </cell>
          <cell r="DE46">
            <v>296960.14924938057</v>
          </cell>
          <cell r="DF46">
            <v>22259.053043568056</v>
          </cell>
          <cell r="DG46">
            <v>0</v>
          </cell>
          <cell r="DH46">
            <v>0</v>
          </cell>
          <cell r="DI46">
            <v>496170.30474810197</v>
          </cell>
          <cell r="DJ46">
            <v>0</v>
          </cell>
          <cell r="DK46">
            <v>30457</v>
          </cell>
          <cell r="DL46">
            <v>3805.41</v>
          </cell>
          <cell r="DM46">
            <v>70073.495851086889</v>
          </cell>
          <cell r="DN46">
            <v>0</v>
          </cell>
          <cell r="DO46">
            <v>0</v>
          </cell>
          <cell r="DP46">
            <v>0</v>
          </cell>
          <cell r="DQ46">
            <v>104335.90585108689</v>
          </cell>
          <cell r="DR46">
            <v>0</v>
          </cell>
          <cell r="DS46">
            <v>0</v>
          </cell>
          <cell r="DT46">
            <v>0</v>
          </cell>
          <cell r="DU46">
            <v>0</v>
          </cell>
          <cell r="DV46">
            <v>0</v>
          </cell>
          <cell r="DW46">
            <v>0</v>
          </cell>
          <cell r="DX46">
            <v>0</v>
          </cell>
          <cell r="DY46">
            <v>10457.086215683366</v>
          </cell>
          <cell r="DZ46">
            <v>0</v>
          </cell>
          <cell r="EA46">
            <v>0</v>
          </cell>
          <cell r="EB46">
            <v>10457.086215683366</v>
          </cell>
          <cell r="EE46">
            <v>0</v>
          </cell>
          <cell r="EH46">
            <v>0</v>
          </cell>
          <cell r="EI46">
            <v>7724.8324999999995</v>
          </cell>
          <cell r="EK46">
            <v>0</v>
          </cell>
          <cell r="EL46">
            <v>11388</v>
          </cell>
          <cell r="EM46">
            <v>0</v>
          </cell>
          <cell r="EO46">
            <v>19112.8325</v>
          </cell>
          <cell r="EP46">
            <v>0</v>
          </cell>
          <cell r="EQ46">
            <v>0</v>
          </cell>
          <cell r="ER46">
            <v>2329390.564903839</v>
          </cell>
          <cell r="ET46">
            <v>555</v>
          </cell>
          <cell r="EU46">
            <v>4197.1001169438541</v>
          </cell>
          <cell r="EV46" t="str">
            <v>No Variation Applied</v>
          </cell>
          <cell r="EW46">
            <v>99600</v>
          </cell>
          <cell r="EX46">
            <v>0</v>
          </cell>
          <cell r="EY46">
            <v>0</v>
          </cell>
          <cell r="EZ46">
            <v>354471.01537941862</v>
          </cell>
        </row>
        <row r="47">
          <cell r="C47" t="str">
            <v>Moorhead Primary School</v>
          </cell>
          <cell r="D47">
            <v>2418</v>
          </cell>
          <cell r="E47" t="str">
            <v>Converter</v>
          </cell>
          <cell r="F47">
            <v>41153</v>
          </cell>
          <cell r="G47">
            <v>0</v>
          </cell>
          <cell r="H47">
            <v>0</v>
          </cell>
          <cell r="I47">
            <v>0</v>
          </cell>
          <cell r="J47">
            <v>0</v>
          </cell>
          <cell r="L47">
            <v>0</v>
          </cell>
          <cell r="M47">
            <v>0</v>
          </cell>
          <cell r="N47">
            <v>0</v>
          </cell>
          <cell r="S47">
            <v>0</v>
          </cell>
          <cell r="T47">
            <v>0</v>
          </cell>
          <cell r="U47">
            <v>40</v>
          </cell>
          <cell r="Y47">
            <v>40</v>
          </cell>
          <cell r="Z47">
            <v>39</v>
          </cell>
          <cell r="AA47">
            <v>38</v>
          </cell>
          <cell r="AB47">
            <v>39</v>
          </cell>
          <cell r="AC47">
            <v>40</v>
          </cell>
          <cell r="AD47">
            <v>40</v>
          </cell>
          <cell r="AK47">
            <v>713227.80467794021</v>
          </cell>
          <cell r="AL47">
            <v>276</v>
          </cell>
          <cell r="BS47">
            <v>0</v>
          </cell>
          <cell r="BT47">
            <v>0</v>
          </cell>
          <cell r="BU47">
            <v>0</v>
          </cell>
          <cell r="BV47">
            <v>0</v>
          </cell>
          <cell r="BW47">
            <v>0</v>
          </cell>
          <cell r="BX47">
            <v>0</v>
          </cell>
          <cell r="BY47">
            <v>0</v>
          </cell>
          <cell r="BZ47">
            <v>0</v>
          </cell>
          <cell r="CA47">
            <v>0</v>
          </cell>
          <cell r="CB47">
            <v>0</v>
          </cell>
          <cell r="CC47">
            <v>0</v>
          </cell>
          <cell r="CD47">
            <v>0</v>
          </cell>
          <cell r="CE47">
            <v>0</v>
          </cell>
          <cell r="CF47">
            <v>22680.611130037629</v>
          </cell>
          <cell r="CI47">
            <v>0</v>
          </cell>
          <cell r="CJ47">
            <v>0</v>
          </cell>
          <cell r="CK47">
            <v>5601.97</v>
          </cell>
          <cell r="CL47">
            <v>2023.7880622745745</v>
          </cell>
          <cell r="CM47">
            <v>30306.369192312206</v>
          </cell>
          <cell r="CQ47">
            <v>7617.3095944609295</v>
          </cell>
          <cell r="CR47">
            <v>4622.34</v>
          </cell>
          <cell r="CS47">
            <v>6466.7283248402873</v>
          </cell>
          <cell r="CT47">
            <v>18706.377919301216</v>
          </cell>
          <cell r="CU47">
            <v>11011.875420409518</v>
          </cell>
          <cell r="CV47">
            <v>0</v>
          </cell>
          <cell r="CW47">
            <v>11011.875420409518</v>
          </cell>
          <cell r="CX47">
            <v>0</v>
          </cell>
          <cell r="CZ47">
            <v>0</v>
          </cell>
          <cell r="DC47">
            <v>0</v>
          </cell>
          <cell r="DD47">
            <v>145628.1470743095</v>
          </cell>
          <cell r="DE47">
            <v>148480.07462469029</v>
          </cell>
          <cell r="DF47">
            <v>6848.9393980209397</v>
          </cell>
          <cell r="DG47">
            <v>0</v>
          </cell>
          <cell r="DH47">
            <v>0</v>
          </cell>
          <cell r="DI47">
            <v>300957.16109702067</v>
          </cell>
          <cell r="DJ47">
            <v>0</v>
          </cell>
          <cell r="DK47">
            <v>12251.5</v>
          </cell>
          <cell r="DL47">
            <v>6217.66</v>
          </cell>
          <cell r="DM47">
            <v>70073.495851086889</v>
          </cell>
          <cell r="DN47">
            <v>0</v>
          </cell>
          <cell r="DO47">
            <v>0</v>
          </cell>
          <cell r="DP47">
            <v>0</v>
          </cell>
          <cell r="DQ47">
            <v>88542.655851086893</v>
          </cell>
          <cell r="DR47">
            <v>0</v>
          </cell>
          <cell r="DS47">
            <v>0</v>
          </cell>
          <cell r="DT47">
            <v>0</v>
          </cell>
          <cell r="DU47">
            <v>0</v>
          </cell>
          <cell r="DV47">
            <v>0</v>
          </cell>
          <cell r="DW47">
            <v>0</v>
          </cell>
          <cell r="DX47">
            <v>0</v>
          </cell>
          <cell r="DY47">
            <v>6535.6788848021042</v>
          </cell>
          <cell r="DZ47">
            <v>0</v>
          </cell>
          <cell r="EA47">
            <v>0</v>
          </cell>
          <cell r="EB47">
            <v>6535.6788848021042</v>
          </cell>
          <cell r="EE47">
            <v>0</v>
          </cell>
          <cell r="EH47">
            <v>0</v>
          </cell>
          <cell r="EI47">
            <v>0</v>
          </cell>
          <cell r="EK47">
            <v>0</v>
          </cell>
          <cell r="EL47">
            <v>9010</v>
          </cell>
          <cell r="EM47">
            <v>0</v>
          </cell>
          <cell r="EO47">
            <v>9010</v>
          </cell>
          <cell r="EP47">
            <v>0</v>
          </cell>
          <cell r="EQ47">
            <v>0</v>
          </cell>
          <cell r="ER47">
            <v>1178297.9230428727</v>
          </cell>
          <cell r="ET47">
            <v>276</v>
          </cell>
          <cell r="EU47">
            <v>4269.1953733437413</v>
          </cell>
          <cell r="EV47" t="str">
            <v>No Variation Applied</v>
          </cell>
          <cell r="EW47">
            <v>78000</v>
          </cell>
          <cell r="EX47">
            <v>0</v>
          </cell>
          <cell r="EY47">
            <v>0</v>
          </cell>
          <cell r="EZ47">
            <v>193840.80990078411</v>
          </cell>
        </row>
        <row r="48">
          <cell r="C48" t="str">
            <v>Osmaston Primary School</v>
          </cell>
          <cell r="D48">
            <v>2420</v>
          </cell>
          <cell r="F48" t="str">
            <v/>
          </cell>
          <cell r="G48">
            <v>0</v>
          </cell>
          <cell r="H48">
            <v>41490</v>
          </cell>
          <cell r="I48">
            <v>0</v>
          </cell>
          <cell r="J48">
            <v>0</v>
          </cell>
          <cell r="L48">
            <v>145066.93220760292</v>
          </cell>
          <cell r="M48">
            <v>41490</v>
          </cell>
          <cell r="N48">
            <v>43.673684210526318</v>
          </cell>
          <cell r="S48">
            <v>0</v>
          </cell>
          <cell r="T48">
            <v>0</v>
          </cell>
          <cell r="U48">
            <v>60</v>
          </cell>
          <cell r="Y48">
            <v>73</v>
          </cell>
          <cell r="Z48">
            <v>60</v>
          </cell>
          <cell r="AA48">
            <v>60</v>
          </cell>
          <cell r="AB48">
            <v>52</v>
          </cell>
          <cell r="AC48">
            <v>56</v>
          </cell>
          <cell r="AD48">
            <v>29</v>
          </cell>
          <cell r="AK48">
            <v>1006453.3142718817</v>
          </cell>
          <cell r="AL48">
            <v>390</v>
          </cell>
          <cell r="BS48">
            <v>24719.076000000001</v>
          </cell>
          <cell r="BT48">
            <v>0</v>
          </cell>
          <cell r="BU48">
            <v>1740.78</v>
          </cell>
          <cell r="BV48">
            <v>0</v>
          </cell>
          <cell r="BW48">
            <v>0</v>
          </cell>
          <cell r="BX48">
            <v>-240.72777940231026</v>
          </cell>
          <cell r="BY48">
            <v>0</v>
          </cell>
          <cell r="BZ48">
            <v>6023.0987999999998</v>
          </cell>
          <cell r="CA48">
            <v>0</v>
          </cell>
          <cell r="CB48">
            <v>0</v>
          </cell>
          <cell r="CC48">
            <v>0</v>
          </cell>
          <cell r="CD48">
            <v>0</v>
          </cell>
          <cell r="CE48">
            <v>32242.227020597689</v>
          </cell>
          <cell r="CF48">
            <v>22680.611130037629</v>
          </cell>
          <cell r="CI48">
            <v>0</v>
          </cell>
          <cell r="CJ48">
            <v>0</v>
          </cell>
          <cell r="CK48">
            <v>7915.83</v>
          </cell>
          <cell r="CL48">
            <v>2847.1543081429372</v>
          </cell>
          <cell r="CM48">
            <v>33443.595438180564</v>
          </cell>
          <cell r="CQ48">
            <v>46465.588526211672</v>
          </cell>
          <cell r="CR48">
            <v>21503.94</v>
          </cell>
          <cell r="CS48">
            <v>16570.991332403235</v>
          </cell>
          <cell r="CT48">
            <v>84540.519858614905</v>
          </cell>
          <cell r="CU48">
            <v>26653.743915309406</v>
          </cell>
          <cell r="CV48">
            <v>0</v>
          </cell>
          <cell r="CW48">
            <v>26653.743915309406</v>
          </cell>
          <cell r="CX48">
            <v>0</v>
          </cell>
          <cell r="CZ48">
            <v>0</v>
          </cell>
          <cell r="DC48">
            <v>0</v>
          </cell>
          <cell r="DD48">
            <v>331280.07046858617</v>
          </cell>
          <cell r="DE48">
            <v>260351.73881358403</v>
          </cell>
          <cell r="DF48">
            <v>13697.878796041879</v>
          </cell>
          <cell r="DG48">
            <v>0</v>
          </cell>
          <cell r="DH48">
            <v>0</v>
          </cell>
          <cell r="DI48">
            <v>605329.68807821197</v>
          </cell>
          <cell r="DJ48">
            <v>0</v>
          </cell>
          <cell r="DK48">
            <v>21068</v>
          </cell>
          <cell r="DL48">
            <v>15384.46</v>
          </cell>
          <cell r="DM48">
            <v>70073.495851086889</v>
          </cell>
          <cell r="DN48">
            <v>0</v>
          </cell>
          <cell r="DO48">
            <v>0</v>
          </cell>
          <cell r="DP48">
            <v>0</v>
          </cell>
          <cell r="DQ48">
            <v>106525.95585108688</v>
          </cell>
          <cell r="DR48">
            <v>0</v>
          </cell>
          <cell r="DS48">
            <v>0</v>
          </cell>
          <cell r="DT48">
            <v>0</v>
          </cell>
          <cell r="DU48">
            <v>0</v>
          </cell>
          <cell r="DV48">
            <v>0</v>
          </cell>
          <cell r="DW48">
            <v>0</v>
          </cell>
          <cell r="DX48">
            <v>0</v>
          </cell>
          <cell r="DY48">
            <v>25815.931594968311</v>
          </cell>
          <cell r="DZ48">
            <v>0</v>
          </cell>
          <cell r="EA48">
            <v>0</v>
          </cell>
          <cell r="EB48">
            <v>25815.931594968311</v>
          </cell>
          <cell r="EE48">
            <v>0</v>
          </cell>
          <cell r="EH48">
            <v>0</v>
          </cell>
          <cell r="EI48">
            <v>0</v>
          </cell>
          <cell r="EK48">
            <v>0</v>
          </cell>
          <cell r="EL48">
            <v>20961</v>
          </cell>
          <cell r="EM48">
            <v>0</v>
          </cell>
          <cell r="EO48">
            <v>20961</v>
          </cell>
          <cell r="EP48">
            <v>0</v>
          </cell>
          <cell r="EQ48">
            <v>177309.15922820062</v>
          </cell>
          <cell r="ER48">
            <v>2087032.9082364547</v>
          </cell>
          <cell r="ET48">
            <v>433.67368421052629</v>
          </cell>
          <cell r="EU48">
            <v>4812.4499692337968</v>
          </cell>
          <cell r="EV48" t="str">
            <v>No Variation Applied</v>
          </cell>
          <cell r="EW48">
            <v>154200</v>
          </cell>
          <cell r="EX48">
            <v>0</v>
          </cell>
          <cell r="EY48">
            <v>0</v>
          </cell>
          <cell r="EZ48">
            <v>489539.15752222121</v>
          </cell>
        </row>
        <row r="49">
          <cell r="C49" t="str">
            <v>Pear Tree Community Junior School</v>
          </cell>
          <cell r="D49">
            <v>2423</v>
          </cell>
          <cell r="F49" t="str">
            <v/>
          </cell>
          <cell r="G49">
            <v>0</v>
          </cell>
          <cell r="H49">
            <v>0</v>
          </cell>
          <cell r="I49">
            <v>0</v>
          </cell>
          <cell r="J49">
            <v>0</v>
          </cell>
          <cell r="L49">
            <v>0</v>
          </cell>
          <cell r="M49">
            <v>0</v>
          </cell>
          <cell r="N49">
            <v>0</v>
          </cell>
          <cell r="S49">
            <v>0</v>
          </cell>
          <cell r="T49">
            <v>0</v>
          </cell>
          <cell r="U49">
            <v>0</v>
          </cell>
          <cell r="Y49">
            <v>0</v>
          </cell>
          <cell r="Z49">
            <v>0</v>
          </cell>
          <cell r="AA49">
            <v>90</v>
          </cell>
          <cell r="AB49">
            <v>88</v>
          </cell>
          <cell r="AC49">
            <v>82</v>
          </cell>
          <cell r="AD49">
            <v>83</v>
          </cell>
          <cell r="AK49">
            <v>881270.97318115376</v>
          </cell>
          <cell r="AL49">
            <v>343</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I49">
            <v>0</v>
          </cell>
          <cell r="CJ49">
            <v>0</v>
          </cell>
          <cell r="CK49">
            <v>6961.87</v>
          </cell>
          <cell r="CL49">
            <v>3755.1656820912253</v>
          </cell>
          <cell r="CM49">
            <v>10717.035682091226</v>
          </cell>
          <cell r="CQ49">
            <v>47227.319485657761</v>
          </cell>
          <cell r="CR49">
            <v>54865.2</v>
          </cell>
          <cell r="CS49">
            <v>42033.734111461868</v>
          </cell>
          <cell r="CT49">
            <v>144126.25359711962</v>
          </cell>
          <cell r="CU49">
            <v>2502.698959183982</v>
          </cell>
          <cell r="CV49">
            <v>0</v>
          </cell>
          <cell r="CW49">
            <v>2502.698959183982</v>
          </cell>
          <cell r="CX49">
            <v>0</v>
          </cell>
          <cell r="CZ49">
            <v>0</v>
          </cell>
          <cell r="DC49">
            <v>0</v>
          </cell>
          <cell r="DD49">
            <v>169297.32945955169</v>
          </cell>
          <cell r="DE49">
            <v>226699.28698440461</v>
          </cell>
          <cell r="DF49">
            <v>14553.996220794497</v>
          </cell>
          <cell r="DG49">
            <v>0</v>
          </cell>
          <cell r="DH49">
            <v>0</v>
          </cell>
          <cell r="DI49">
            <v>410550.61266475078</v>
          </cell>
          <cell r="DJ49">
            <v>0</v>
          </cell>
          <cell r="DK49">
            <v>11564.5</v>
          </cell>
          <cell r="DL49">
            <v>13624.66</v>
          </cell>
          <cell r="DM49">
            <v>70073.495851086889</v>
          </cell>
          <cell r="DN49">
            <v>0</v>
          </cell>
          <cell r="DO49">
            <v>0</v>
          </cell>
          <cell r="DP49">
            <v>0</v>
          </cell>
          <cell r="DQ49">
            <v>95262.655851086893</v>
          </cell>
          <cell r="DR49">
            <v>0</v>
          </cell>
          <cell r="DS49">
            <v>0</v>
          </cell>
          <cell r="DT49">
            <v>0</v>
          </cell>
          <cell r="DU49">
            <v>0</v>
          </cell>
          <cell r="DV49">
            <v>0</v>
          </cell>
          <cell r="DW49">
            <v>0</v>
          </cell>
          <cell r="DX49">
            <v>0</v>
          </cell>
          <cell r="DY49">
            <v>16339.19721200526</v>
          </cell>
          <cell r="DZ49">
            <v>0</v>
          </cell>
          <cell r="EA49">
            <v>0</v>
          </cell>
          <cell r="EB49">
            <v>16339.19721200526</v>
          </cell>
          <cell r="EE49">
            <v>0</v>
          </cell>
          <cell r="EH49">
            <v>0</v>
          </cell>
          <cell r="EI49">
            <v>0</v>
          </cell>
          <cell r="EK49">
            <v>0</v>
          </cell>
          <cell r="EL49">
            <v>-5256</v>
          </cell>
          <cell r="EM49">
            <v>0</v>
          </cell>
          <cell r="EO49">
            <v>-5256</v>
          </cell>
          <cell r="EP49">
            <v>0</v>
          </cell>
          <cell r="EQ49">
            <v>0</v>
          </cell>
          <cell r="ER49">
            <v>1555513.4271473915</v>
          </cell>
          <cell r="ET49">
            <v>343</v>
          </cell>
          <cell r="EU49">
            <v>4535.024568942832</v>
          </cell>
          <cell r="EV49" t="str">
            <v>No Variation Applied</v>
          </cell>
          <cell r="EW49">
            <v>98300</v>
          </cell>
          <cell r="EX49">
            <v>0</v>
          </cell>
          <cell r="EY49">
            <v>0</v>
          </cell>
          <cell r="EZ49">
            <v>319172.50292549725</v>
          </cell>
        </row>
        <row r="50">
          <cell r="C50" t="str">
            <v>Pear Tree Infant School</v>
          </cell>
          <cell r="D50">
            <v>2424</v>
          </cell>
          <cell r="F50" t="str">
            <v/>
          </cell>
          <cell r="G50">
            <v>0</v>
          </cell>
          <cell r="H50">
            <v>0</v>
          </cell>
          <cell r="I50">
            <v>0</v>
          </cell>
          <cell r="J50">
            <v>0</v>
          </cell>
          <cell r="L50">
            <v>0</v>
          </cell>
          <cell r="M50">
            <v>0</v>
          </cell>
          <cell r="N50">
            <v>0</v>
          </cell>
          <cell r="S50">
            <v>0</v>
          </cell>
          <cell r="T50">
            <v>0</v>
          </cell>
          <cell r="U50">
            <v>88</v>
          </cell>
          <cell r="Y50">
            <v>90</v>
          </cell>
          <cell r="Z50">
            <v>90</v>
          </cell>
          <cell r="AA50">
            <v>0</v>
          </cell>
          <cell r="AB50">
            <v>0</v>
          </cell>
          <cell r="AC50">
            <v>0</v>
          </cell>
          <cell r="AD50">
            <v>0</v>
          </cell>
          <cell r="AK50">
            <v>696855.91248581652</v>
          </cell>
          <cell r="AL50">
            <v>268</v>
          </cell>
          <cell r="BS50">
            <v>0</v>
          </cell>
          <cell r="BT50">
            <v>0</v>
          </cell>
          <cell r="BU50">
            <v>0</v>
          </cell>
          <cell r="BV50">
            <v>0</v>
          </cell>
          <cell r="BW50">
            <v>0</v>
          </cell>
          <cell r="BX50">
            <v>0</v>
          </cell>
          <cell r="BY50">
            <v>0</v>
          </cell>
          <cell r="BZ50">
            <v>0</v>
          </cell>
          <cell r="CA50">
            <v>0</v>
          </cell>
          <cell r="CB50">
            <v>0</v>
          </cell>
          <cell r="CC50">
            <v>0</v>
          </cell>
          <cell r="CD50">
            <v>0</v>
          </cell>
          <cell r="CE50">
            <v>0</v>
          </cell>
          <cell r="CF50">
            <v>34020.916695056439</v>
          </cell>
          <cell r="CI50">
            <v>0</v>
          </cell>
          <cell r="CJ50">
            <v>0</v>
          </cell>
          <cell r="CK50">
            <v>5439.6</v>
          </cell>
          <cell r="CL50">
            <v>2858.6968256083815</v>
          </cell>
          <cell r="CM50">
            <v>42319.213520664816</v>
          </cell>
          <cell r="CQ50">
            <v>20566.735905044508</v>
          </cell>
          <cell r="CR50">
            <v>36576.800000000003</v>
          </cell>
          <cell r="CS50">
            <v>33344.06792495773</v>
          </cell>
          <cell r="CT50">
            <v>90487.603830002248</v>
          </cell>
          <cell r="CU50">
            <v>4379.7231785719678</v>
          </cell>
          <cell r="CV50">
            <v>0</v>
          </cell>
          <cell r="CW50">
            <v>4379.7231785719678</v>
          </cell>
          <cell r="CX50">
            <v>0</v>
          </cell>
          <cell r="CZ50">
            <v>0</v>
          </cell>
          <cell r="DC50">
            <v>0</v>
          </cell>
          <cell r="DD50">
            <v>124613.45243320661</v>
          </cell>
          <cell r="DE50">
            <v>178267.04212213962</v>
          </cell>
          <cell r="DF50">
            <v>16266.231070299731</v>
          </cell>
          <cell r="DG50">
            <v>0</v>
          </cell>
          <cell r="DH50">
            <v>0</v>
          </cell>
          <cell r="DI50">
            <v>319146.72562564595</v>
          </cell>
          <cell r="DJ50">
            <v>0</v>
          </cell>
          <cell r="DK50">
            <v>11564.5</v>
          </cell>
          <cell r="DL50">
            <v>6819.94</v>
          </cell>
          <cell r="DM50">
            <v>70073.495851086889</v>
          </cell>
          <cell r="DN50">
            <v>0</v>
          </cell>
          <cell r="DO50">
            <v>0</v>
          </cell>
          <cell r="DP50">
            <v>0</v>
          </cell>
          <cell r="DQ50">
            <v>88457.935851086891</v>
          </cell>
          <cell r="DR50">
            <v>0</v>
          </cell>
          <cell r="DS50">
            <v>0</v>
          </cell>
          <cell r="DT50">
            <v>0</v>
          </cell>
          <cell r="DU50">
            <v>0</v>
          </cell>
          <cell r="DV50">
            <v>0</v>
          </cell>
          <cell r="DW50">
            <v>0</v>
          </cell>
          <cell r="DX50">
            <v>0</v>
          </cell>
          <cell r="DY50">
            <v>9803.5183272031554</v>
          </cell>
          <cell r="DZ50">
            <v>0</v>
          </cell>
          <cell r="EA50">
            <v>0</v>
          </cell>
          <cell r="EB50">
            <v>9803.5183272031554</v>
          </cell>
          <cell r="EE50">
            <v>0</v>
          </cell>
          <cell r="EH50">
            <v>0</v>
          </cell>
          <cell r="EI50">
            <v>0</v>
          </cell>
          <cell r="EK50">
            <v>0</v>
          </cell>
          <cell r="EL50">
            <v>6132</v>
          </cell>
          <cell r="EM50">
            <v>0</v>
          </cell>
          <cell r="EO50">
            <v>6132</v>
          </cell>
          <cell r="EP50">
            <v>160884.04143549176</v>
          </cell>
          <cell r="EQ50">
            <v>0</v>
          </cell>
          <cell r="ER50">
            <v>1418466.6742544833</v>
          </cell>
          <cell r="ET50">
            <v>268</v>
          </cell>
          <cell r="EU50">
            <v>5292.7860979644902</v>
          </cell>
          <cell r="EV50" t="str">
            <v>No Variation Applied</v>
          </cell>
          <cell r="EW50">
            <v>60600</v>
          </cell>
          <cell r="EX50">
            <v>0</v>
          </cell>
          <cell r="EY50">
            <v>0</v>
          </cell>
          <cell r="EZ50">
            <v>223447.42915241778</v>
          </cell>
        </row>
        <row r="51">
          <cell r="C51" t="str">
            <v>Rosehill Infant and Nursery School</v>
          </cell>
          <cell r="D51">
            <v>2429</v>
          </cell>
          <cell r="F51" t="str">
            <v/>
          </cell>
          <cell r="G51">
            <v>0</v>
          </cell>
          <cell r="H51">
            <v>32520</v>
          </cell>
          <cell r="I51">
            <v>0</v>
          </cell>
          <cell r="J51">
            <v>0</v>
          </cell>
          <cell r="L51">
            <v>113703.94397183049</v>
          </cell>
          <cell r="M51">
            <v>32520</v>
          </cell>
          <cell r="N51">
            <v>34.231578947368419</v>
          </cell>
          <cell r="S51">
            <v>0</v>
          </cell>
          <cell r="T51">
            <v>0</v>
          </cell>
          <cell r="U51">
            <v>52</v>
          </cell>
          <cell r="Y51">
            <v>52</v>
          </cell>
          <cell r="Z51">
            <v>51</v>
          </cell>
          <cell r="AA51">
            <v>0</v>
          </cell>
          <cell r="AB51">
            <v>0</v>
          </cell>
          <cell r="AC51">
            <v>0</v>
          </cell>
          <cell r="AD51">
            <v>0</v>
          </cell>
          <cell r="AK51">
            <v>403536.47634086036</v>
          </cell>
          <cell r="AL51">
            <v>155</v>
          </cell>
          <cell r="BS51">
            <v>20193.047999999999</v>
          </cell>
          <cell r="BT51">
            <v>0</v>
          </cell>
          <cell r="BU51">
            <v>4177.8720000000003</v>
          </cell>
          <cell r="BV51">
            <v>0</v>
          </cell>
          <cell r="BW51">
            <v>0</v>
          </cell>
          <cell r="BX51">
            <v>-11780.647999999986</v>
          </cell>
          <cell r="BY51">
            <v>0</v>
          </cell>
          <cell r="BZ51">
            <v>3011.5493999999999</v>
          </cell>
          <cell r="CA51">
            <v>0</v>
          </cell>
          <cell r="CB51">
            <v>0</v>
          </cell>
          <cell r="CC51">
            <v>0</v>
          </cell>
          <cell r="CD51">
            <v>0</v>
          </cell>
          <cell r="CE51">
            <v>15601.821400000012</v>
          </cell>
          <cell r="CF51">
            <v>22680.611130037629</v>
          </cell>
          <cell r="CI51">
            <v>0</v>
          </cell>
          <cell r="CJ51">
            <v>0</v>
          </cell>
          <cell r="CK51">
            <v>3146.03</v>
          </cell>
          <cell r="CL51">
            <v>1789.0902071438727</v>
          </cell>
          <cell r="CM51">
            <v>27615.7313371815</v>
          </cell>
          <cell r="CQ51">
            <v>4570.3857566765573</v>
          </cell>
          <cell r="CR51">
            <v>22508.799999999999</v>
          </cell>
          <cell r="CS51">
            <v>27079.424860268704</v>
          </cell>
          <cell r="CT51">
            <v>54158.610616945261</v>
          </cell>
          <cell r="CU51">
            <v>13139.169535715904</v>
          </cell>
          <cell r="CV51">
            <v>0</v>
          </cell>
          <cell r="CW51">
            <v>13139.169535715904</v>
          </cell>
          <cell r="CX51">
            <v>0</v>
          </cell>
          <cell r="CZ51">
            <v>0</v>
          </cell>
          <cell r="DC51">
            <v>0</v>
          </cell>
          <cell r="DD51">
            <v>58516.70760413773</v>
          </cell>
          <cell r="DE51">
            <v>101866.88121265122</v>
          </cell>
          <cell r="DF51">
            <v>8561.1742475261744</v>
          </cell>
          <cell r="DG51">
            <v>0</v>
          </cell>
          <cell r="DH51">
            <v>0</v>
          </cell>
          <cell r="DI51">
            <v>168944.76306431514</v>
          </cell>
          <cell r="DJ51">
            <v>0</v>
          </cell>
          <cell r="DK51">
            <v>8473</v>
          </cell>
          <cell r="DL51">
            <v>5778.79</v>
          </cell>
          <cell r="DM51">
            <v>74722.185859261808</v>
          </cell>
          <cell r="DN51">
            <v>0</v>
          </cell>
          <cell r="DO51">
            <v>0</v>
          </cell>
          <cell r="DP51">
            <v>0</v>
          </cell>
          <cell r="DQ51">
            <v>88973.975859261816</v>
          </cell>
          <cell r="DR51">
            <v>0</v>
          </cell>
          <cell r="DS51">
            <v>0</v>
          </cell>
          <cell r="DT51">
            <v>0</v>
          </cell>
          <cell r="DU51">
            <v>0</v>
          </cell>
          <cell r="DV51">
            <v>0</v>
          </cell>
          <cell r="DW51">
            <v>0</v>
          </cell>
          <cell r="DX51">
            <v>0</v>
          </cell>
          <cell r="DY51">
            <v>3921.4073308812622</v>
          </cell>
          <cell r="DZ51">
            <v>0</v>
          </cell>
          <cell r="EA51">
            <v>0</v>
          </cell>
          <cell r="EB51">
            <v>3921.4073308812622</v>
          </cell>
          <cell r="EE51">
            <v>0</v>
          </cell>
          <cell r="EH51">
            <v>0</v>
          </cell>
          <cell r="EI51">
            <v>0</v>
          </cell>
          <cell r="EK51">
            <v>0</v>
          </cell>
          <cell r="EL51">
            <v>10511</v>
          </cell>
          <cell r="EM51">
            <v>0</v>
          </cell>
          <cell r="EO51">
            <v>10511</v>
          </cell>
          <cell r="EP51">
            <v>0</v>
          </cell>
          <cell r="EQ51">
            <v>129305.76537183051</v>
          </cell>
          <cell r="ER51">
            <v>900106.8994569917</v>
          </cell>
          <cell r="ET51">
            <v>189.2315789473684</v>
          </cell>
          <cell r="EU51">
            <v>4756.6421231804097</v>
          </cell>
          <cell r="EV51" t="str">
            <v>No Variation Applied</v>
          </cell>
          <cell r="EW51">
            <v>29400</v>
          </cell>
          <cell r="EX51">
            <v>0</v>
          </cell>
          <cell r="EY51">
            <v>0</v>
          </cell>
          <cell r="EZ51">
            <v>124908.37213204296</v>
          </cell>
        </row>
        <row r="52">
          <cell r="C52" t="str">
            <v>Sinfin Primary School</v>
          </cell>
          <cell r="D52">
            <v>2430</v>
          </cell>
          <cell r="F52" t="str">
            <v/>
          </cell>
          <cell r="G52">
            <v>0</v>
          </cell>
          <cell r="H52">
            <v>12030</v>
          </cell>
          <cell r="I52">
            <v>0</v>
          </cell>
          <cell r="J52">
            <v>0</v>
          </cell>
          <cell r="L52">
            <v>42062.067834597809</v>
          </cell>
          <cell r="M52">
            <v>12030</v>
          </cell>
          <cell r="N52">
            <v>12.663157894736843</v>
          </cell>
          <cell r="S52">
            <v>0</v>
          </cell>
          <cell r="T52">
            <v>0</v>
          </cell>
          <cell r="U52">
            <v>20</v>
          </cell>
          <cell r="Y52">
            <v>19</v>
          </cell>
          <cell r="Z52">
            <v>14</v>
          </cell>
          <cell r="AA52">
            <v>18</v>
          </cell>
          <cell r="AB52">
            <v>16</v>
          </cell>
          <cell r="AC52">
            <v>14</v>
          </cell>
          <cell r="AD52">
            <v>12</v>
          </cell>
          <cell r="AK52">
            <v>293154.65272212337</v>
          </cell>
          <cell r="AL52">
            <v>113</v>
          </cell>
          <cell r="BS52">
            <v>6963.12</v>
          </cell>
          <cell r="BT52">
            <v>0</v>
          </cell>
          <cell r="BU52">
            <v>928.41600000000005</v>
          </cell>
          <cell r="BV52">
            <v>0</v>
          </cell>
          <cell r="BW52">
            <v>0</v>
          </cell>
          <cell r="BX52">
            <v>-7526.8041999999987</v>
          </cell>
          <cell r="BY52">
            <v>0</v>
          </cell>
          <cell r="BZ52">
            <v>1003.8498</v>
          </cell>
          <cell r="CA52">
            <v>0</v>
          </cell>
          <cell r="CB52">
            <v>0</v>
          </cell>
          <cell r="CC52">
            <v>0</v>
          </cell>
          <cell r="CD52">
            <v>0</v>
          </cell>
          <cell r="CE52">
            <v>1368.5816000000023</v>
          </cell>
          <cell r="CF52">
            <v>11340.305565018814</v>
          </cell>
          <cell r="CI52">
            <v>0</v>
          </cell>
          <cell r="CJ52">
            <v>0</v>
          </cell>
          <cell r="CK52">
            <v>2293.56</v>
          </cell>
          <cell r="CL52">
            <v>1161.9467581880635</v>
          </cell>
          <cell r="CM52">
            <v>14795.812323206877</v>
          </cell>
          <cell r="CQ52">
            <v>4570.3857566765573</v>
          </cell>
          <cell r="CR52">
            <v>9445.66</v>
          </cell>
          <cell r="CS52">
            <v>5860.47254438651</v>
          </cell>
          <cell r="CT52">
            <v>19876.518301063068</v>
          </cell>
          <cell r="CU52">
            <v>0</v>
          </cell>
          <cell r="CV52">
            <v>0</v>
          </cell>
          <cell r="CW52">
            <v>0</v>
          </cell>
          <cell r="CX52">
            <v>0</v>
          </cell>
          <cell r="CZ52">
            <v>0</v>
          </cell>
          <cell r="DC52">
            <v>0</v>
          </cell>
          <cell r="DD52">
            <v>72909.93003902644</v>
          </cell>
          <cell r="DE52">
            <v>73671.583734149535</v>
          </cell>
          <cell r="DF52">
            <v>856.11742475261747</v>
          </cell>
          <cell r="DG52">
            <v>0</v>
          </cell>
          <cell r="DH52">
            <v>0</v>
          </cell>
          <cell r="DI52">
            <v>147437.6311979286</v>
          </cell>
          <cell r="DJ52">
            <v>0</v>
          </cell>
          <cell r="DK52">
            <v>18434.5</v>
          </cell>
          <cell r="DL52">
            <v>1522.32</v>
          </cell>
          <cell r="DM52">
            <v>74722.185859261808</v>
          </cell>
          <cell r="DN52">
            <v>0</v>
          </cell>
          <cell r="DO52">
            <v>0</v>
          </cell>
          <cell r="DP52">
            <v>0</v>
          </cell>
          <cell r="DQ52">
            <v>94679.005859261815</v>
          </cell>
          <cell r="DR52">
            <v>20979.235406779724</v>
          </cell>
          <cell r="DS52">
            <v>0</v>
          </cell>
          <cell r="DT52">
            <v>2721.2288460713607</v>
          </cell>
          <cell r="DU52">
            <v>0</v>
          </cell>
          <cell r="DV52">
            <v>0</v>
          </cell>
          <cell r="DW52">
            <v>0</v>
          </cell>
          <cell r="DX52">
            <v>23700.464252851085</v>
          </cell>
          <cell r="DY52">
            <v>3594.6233866411571</v>
          </cell>
          <cell r="DZ52">
            <v>0</v>
          </cell>
          <cell r="EA52">
            <v>9695.2144223708819</v>
          </cell>
          <cell r="EB52">
            <v>13289.837809012039</v>
          </cell>
          <cell r="EE52">
            <v>0</v>
          </cell>
          <cell r="EH52">
            <v>0</v>
          </cell>
          <cell r="EI52">
            <v>0</v>
          </cell>
          <cell r="EK52">
            <v>0</v>
          </cell>
          <cell r="EL52">
            <v>0</v>
          </cell>
          <cell r="EM52">
            <v>0</v>
          </cell>
          <cell r="EO52">
            <v>0</v>
          </cell>
          <cell r="EP52">
            <v>57249.303847600357</v>
          </cell>
          <cell r="EQ52">
            <v>43430.649434597814</v>
          </cell>
          <cell r="ER52">
            <v>707613.87574764504</v>
          </cell>
          <cell r="ET52">
            <v>125.66315789473684</v>
          </cell>
          <cell r="EU52">
            <v>5631.0368735153525</v>
          </cell>
          <cell r="EV52" t="str">
            <v>No Variation Applied</v>
          </cell>
          <cell r="EW52">
            <v>37200</v>
          </cell>
          <cell r="EX52">
            <v>0</v>
          </cell>
          <cell r="EY52">
            <v>0</v>
          </cell>
          <cell r="EZ52">
            <v>98048.644388083238</v>
          </cell>
        </row>
        <row r="53">
          <cell r="C53" t="str">
            <v>Brackensdale Junior School</v>
          </cell>
          <cell r="D53">
            <v>2432</v>
          </cell>
          <cell r="F53" t="str">
            <v/>
          </cell>
          <cell r="G53">
            <v>0</v>
          </cell>
          <cell r="H53">
            <v>0</v>
          </cell>
          <cell r="I53">
            <v>0</v>
          </cell>
          <cell r="J53">
            <v>0</v>
          </cell>
          <cell r="L53">
            <v>0</v>
          </cell>
          <cell r="M53">
            <v>0</v>
          </cell>
          <cell r="N53">
            <v>0</v>
          </cell>
          <cell r="S53">
            <v>0</v>
          </cell>
          <cell r="T53">
            <v>0</v>
          </cell>
          <cell r="U53">
            <v>0</v>
          </cell>
          <cell r="Y53">
            <v>0</v>
          </cell>
          <cell r="Z53">
            <v>0</v>
          </cell>
          <cell r="AA53">
            <v>58</v>
          </cell>
          <cell r="AB53">
            <v>51</v>
          </cell>
          <cell r="AC53">
            <v>51</v>
          </cell>
          <cell r="AD53">
            <v>55</v>
          </cell>
          <cell r="AK53">
            <v>552400.17269372614</v>
          </cell>
          <cell r="AL53">
            <v>215</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I53">
            <v>0</v>
          </cell>
          <cell r="CJ53">
            <v>0</v>
          </cell>
          <cell r="CK53">
            <v>4363.8500000000004</v>
          </cell>
          <cell r="CL53">
            <v>1423.5771540714686</v>
          </cell>
          <cell r="CM53">
            <v>5787.427154071469</v>
          </cell>
          <cell r="CQ53">
            <v>2285.1928783382787</v>
          </cell>
          <cell r="CR53">
            <v>2411.66</v>
          </cell>
          <cell r="CS53">
            <v>4243.7904631764386</v>
          </cell>
          <cell r="CT53">
            <v>8940.6433415147185</v>
          </cell>
          <cell r="CU53">
            <v>3003.2387510207782</v>
          </cell>
          <cell r="CV53">
            <v>0</v>
          </cell>
          <cell r="CW53">
            <v>3003.2387510207782</v>
          </cell>
          <cell r="CX53">
            <v>623434.01330461411</v>
          </cell>
          <cell r="CZ53">
            <v>623434.01330461411</v>
          </cell>
          <cell r="DC53">
            <v>0</v>
          </cell>
          <cell r="DD53">
            <v>117225.12821201884</v>
          </cell>
          <cell r="DE53">
            <v>64348.945051741728</v>
          </cell>
          <cell r="DF53">
            <v>9417.2916722787922</v>
          </cell>
          <cell r="DG53">
            <v>0</v>
          </cell>
          <cell r="DH53">
            <v>0</v>
          </cell>
          <cell r="DI53">
            <v>190991.36493603938</v>
          </cell>
          <cell r="DJ53">
            <v>0</v>
          </cell>
          <cell r="DK53">
            <v>7671.5</v>
          </cell>
          <cell r="DL53">
            <v>5467.73</v>
          </cell>
          <cell r="DM53">
            <v>70073.495851086889</v>
          </cell>
          <cell r="DN53">
            <v>0</v>
          </cell>
          <cell r="DO53">
            <v>0</v>
          </cell>
          <cell r="DP53">
            <v>0</v>
          </cell>
          <cell r="DQ53">
            <v>83212.725851086885</v>
          </cell>
          <cell r="DR53">
            <v>0</v>
          </cell>
          <cell r="DS53">
            <v>0</v>
          </cell>
          <cell r="DT53">
            <v>0</v>
          </cell>
          <cell r="DU53">
            <v>0</v>
          </cell>
          <cell r="DV53">
            <v>0</v>
          </cell>
          <cell r="DW53">
            <v>0</v>
          </cell>
          <cell r="DX53">
            <v>0</v>
          </cell>
          <cell r="DY53">
            <v>3267.8394424010521</v>
          </cell>
          <cell r="DZ53">
            <v>0</v>
          </cell>
          <cell r="EA53">
            <v>0</v>
          </cell>
          <cell r="EB53">
            <v>3267.8394424010521</v>
          </cell>
          <cell r="EE53">
            <v>0</v>
          </cell>
          <cell r="EH53">
            <v>0</v>
          </cell>
          <cell r="EI53">
            <v>0</v>
          </cell>
          <cell r="EK53">
            <v>0</v>
          </cell>
          <cell r="EL53">
            <v>-5006</v>
          </cell>
          <cell r="EM53">
            <v>0</v>
          </cell>
          <cell r="EO53">
            <v>-5006</v>
          </cell>
          <cell r="EP53">
            <v>14095.520642657531</v>
          </cell>
          <cell r="EQ53">
            <v>0</v>
          </cell>
          <cell r="ER53">
            <v>1480126.946117132</v>
          </cell>
          <cell r="ET53">
            <v>215</v>
          </cell>
          <cell r="EU53">
            <v>6884.3113772889856</v>
          </cell>
          <cell r="EV53" t="str">
            <v>No Variation Applied</v>
          </cell>
          <cell r="EW53">
            <v>65400</v>
          </cell>
          <cell r="EX53">
            <v>0</v>
          </cell>
          <cell r="EY53">
            <v>0</v>
          </cell>
          <cell r="EZ53">
            <v>770062.30519794708</v>
          </cell>
        </row>
        <row r="54">
          <cell r="C54" t="str">
            <v>Brackensdale Infant School</v>
          </cell>
          <cell r="D54">
            <v>2433</v>
          </cell>
          <cell r="F54" t="str">
            <v/>
          </cell>
          <cell r="G54">
            <v>0</v>
          </cell>
          <cell r="H54">
            <v>24336</v>
          </cell>
          <cell r="I54">
            <v>0</v>
          </cell>
          <cell r="J54">
            <v>0</v>
          </cell>
          <cell r="L54">
            <v>85089.150691834773</v>
          </cell>
          <cell r="M54">
            <v>24336</v>
          </cell>
          <cell r="N54">
            <v>25.616842105263157</v>
          </cell>
          <cell r="S54">
            <v>0</v>
          </cell>
          <cell r="T54">
            <v>0</v>
          </cell>
          <cell r="U54">
            <v>61</v>
          </cell>
          <cell r="Y54">
            <v>50</v>
          </cell>
          <cell r="Z54">
            <v>65</v>
          </cell>
          <cell r="AA54">
            <v>0</v>
          </cell>
          <cell r="AB54">
            <v>0</v>
          </cell>
          <cell r="AC54">
            <v>0</v>
          </cell>
          <cell r="AD54">
            <v>0</v>
          </cell>
          <cell r="AK54">
            <v>459101.44652005914</v>
          </cell>
          <cell r="AL54">
            <v>176</v>
          </cell>
          <cell r="BS54">
            <v>6057.9144000000006</v>
          </cell>
          <cell r="BT54">
            <v>0</v>
          </cell>
          <cell r="BU54">
            <v>348.15600000000001</v>
          </cell>
          <cell r="BV54">
            <v>0</v>
          </cell>
          <cell r="BW54">
            <v>0</v>
          </cell>
          <cell r="BX54">
            <v>-10265.964327621026</v>
          </cell>
          <cell r="BY54">
            <v>0</v>
          </cell>
          <cell r="BZ54">
            <v>2007.6995999999999</v>
          </cell>
          <cell r="CA54">
            <v>0</v>
          </cell>
          <cell r="CB54">
            <v>0</v>
          </cell>
          <cell r="CC54">
            <v>0</v>
          </cell>
          <cell r="CD54">
            <v>0</v>
          </cell>
          <cell r="CE54">
            <v>-1852.1943276210259</v>
          </cell>
          <cell r="CF54">
            <v>22680.611130037629</v>
          </cell>
          <cell r="CI54">
            <v>0</v>
          </cell>
          <cell r="CJ54">
            <v>0</v>
          </cell>
          <cell r="CK54">
            <v>3572.27</v>
          </cell>
          <cell r="CL54">
            <v>1869.8878294019833</v>
          </cell>
          <cell r="CM54">
            <v>28122.768959439614</v>
          </cell>
          <cell r="CQ54">
            <v>3808.6547972304647</v>
          </cell>
          <cell r="CR54">
            <v>2210.69</v>
          </cell>
          <cell r="CS54">
            <v>1616.6820812100718</v>
          </cell>
          <cell r="CT54">
            <v>7636.0268784405362</v>
          </cell>
          <cell r="CU54">
            <v>2502.698959183982</v>
          </cell>
          <cell r="CV54">
            <v>0</v>
          </cell>
          <cell r="CW54">
            <v>2502.698959183982</v>
          </cell>
          <cell r="CX54">
            <v>492200.68550177501</v>
          </cell>
          <cell r="CZ54">
            <v>492200.68550177501</v>
          </cell>
          <cell r="DC54">
            <v>0</v>
          </cell>
          <cell r="DD54">
            <v>77702.755132611317</v>
          </cell>
          <cell r="DE54">
            <v>56390.594957003348</v>
          </cell>
          <cell r="DF54">
            <v>7705.0568227735575</v>
          </cell>
          <cell r="DG54">
            <v>0</v>
          </cell>
          <cell r="DH54">
            <v>0</v>
          </cell>
          <cell r="DI54">
            <v>141798.40691238822</v>
          </cell>
          <cell r="DJ54">
            <v>0</v>
          </cell>
          <cell r="DK54">
            <v>7671.5</v>
          </cell>
          <cell r="DL54">
            <v>5003.1400000000003</v>
          </cell>
          <cell r="DM54">
            <v>70073.495851086889</v>
          </cell>
          <cell r="DN54">
            <v>0</v>
          </cell>
          <cell r="DO54">
            <v>0</v>
          </cell>
          <cell r="DP54">
            <v>0</v>
          </cell>
          <cell r="DQ54">
            <v>82748.135851086889</v>
          </cell>
          <cell r="DR54">
            <v>0</v>
          </cell>
          <cell r="DS54">
            <v>0</v>
          </cell>
          <cell r="DT54">
            <v>0</v>
          </cell>
          <cell r="DU54">
            <v>0</v>
          </cell>
          <cell r="DV54">
            <v>0</v>
          </cell>
          <cell r="DW54">
            <v>0</v>
          </cell>
          <cell r="DX54">
            <v>0</v>
          </cell>
          <cell r="DY54">
            <v>5228.5431078416832</v>
          </cell>
          <cell r="DZ54">
            <v>0</v>
          </cell>
          <cell r="EA54">
            <v>0</v>
          </cell>
          <cell r="EB54">
            <v>5228.5431078416832</v>
          </cell>
          <cell r="EE54">
            <v>0</v>
          </cell>
          <cell r="EH54">
            <v>0</v>
          </cell>
          <cell r="EI54">
            <v>0</v>
          </cell>
          <cell r="EK54">
            <v>0</v>
          </cell>
          <cell r="EL54">
            <v>0</v>
          </cell>
          <cell r="EM54">
            <v>0</v>
          </cell>
          <cell r="EO54">
            <v>0</v>
          </cell>
          <cell r="EP54">
            <v>68214.934877201449</v>
          </cell>
          <cell r="EQ54">
            <v>83236.956364213751</v>
          </cell>
          <cell r="ER54">
            <v>1370790.6039316303</v>
          </cell>
          <cell r="ET54">
            <v>201.61684210526315</v>
          </cell>
          <cell r="EU54">
            <v>6798.9885647348219</v>
          </cell>
          <cell r="EV54" t="str">
            <v>No Variation Applied</v>
          </cell>
          <cell r="EW54">
            <v>38650</v>
          </cell>
          <cell r="EX54">
            <v>0</v>
          </cell>
          <cell r="EY54">
            <v>0</v>
          </cell>
          <cell r="EZ54">
            <v>601097.06831658084</v>
          </cell>
        </row>
        <row r="55">
          <cell r="C55" t="str">
            <v>Lakeside Community Primary School</v>
          </cell>
          <cell r="D55">
            <v>2434</v>
          </cell>
          <cell r="F55" t="str">
            <v/>
          </cell>
          <cell r="G55">
            <v>0</v>
          </cell>
          <cell r="H55">
            <v>59280</v>
          </cell>
          <cell r="I55">
            <v>0</v>
          </cell>
          <cell r="J55">
            <v>0</v>
          </cell>
          <cell r="L55">
            <v>207268.44399293084</v>
          </cell>
          <cell r="M55">
            <v>59280</v>
          </cell>
          <cell r="N55">
            <v>62.4</v>
          </cell>
          <cell r="S55">
            <v>0</v>
          </cell>
          <cell r="T55">
            <v>0</v>
          </cell>
          <cell r="U55">
            <v>56</v>
          </cell>
          <cell r="Y55">
            <v>52</v>
          </cell>
          <cell r="Z55">
            <v>49</v>
          </cell>
          <cell r="AA55">
            <v>53</v>
          </cell>
          <cell r="AB55">
            <v>52</v>
          </cell>
          <cell r="AC55">
            <v>54</v>
          </cell>
          <cell r="AD55">
            <v>52</v>
          </cell>
          <cell r="AK55">
            <v>952385.89583938685</v>
          </cell>
          <cell r="AL55">
            <v>368</v>
          </cell>
          <cell r="BS55">
            <v>24138.815999999999</v>
          </cell>
          <cell r="BT55">
            <v>0</v>
          </cell>
          <cell r="BU55">
            <v>812.36400000000003</v>
          </cell>
          <cell r="BV55">
            <v>0</v>
          </cell>
          <cell r="BW55">
            <v>0</v>
          </cell>
          <cell r="BX55">
            <v>-8231.9026000000013</v>
          </cell>
          <cell r="BY55">
            <v>0</v>
          </cell>
          <cell r="BZ55">
            <v>3011.5493999999999</v>
          </cell>
          <cell r="CA55">
            <v>0</v>
          </cell>
          <cell r="CB55">
            <v>0</v>
          </cell>
          <cell r="CC55">
            <v>0</v>
          </cell>
          <cell r="CD55">
            <v>0</v>
          </cell>
          <cell r="CE55">
            <v>19730.826799999999</v>
          </cell>
          <cell r="CF55">
            <v>22680.611130037629</v>
          </cell>
          <cell r="CI55">
            <v>0</v>
          </cell>
          <cell r="CJ55">
            <v>0</v>
          </cell>
          <cell r="CK55">
            <v>7469.3</v>
          </cell>
          <cell r="CL55">
            <v>2781.746709172086</v>
          </cell>
          <cell r="CM55">
            <v>32931.657839209714</v>
          </cell>
          <cell r="CQ55">
            <v>11425.964391691394</v>
          </cell>
          <cell r="CR55">
            <v>1808.74</v>
          </cell>
          <cell r="CS55">
            <v>5860.47254438651</v>
          </cell>
          <cell r="CT55">
            <v>19095.176936077904</v>
          </cell>
          <cell r="CU55">
            <v>6006.4775020415564</v>
          </cell>
          <cell r="CV55">
            <v>0</v>
          </cell>
          <cell r="CW55">
            <v>6006.4775020415564</v>
          </cell>
          <cell r="CX55">
            <v>188680.60004797752</v>
          </cell>
          <cell r="CZ55">
            <v>188680.60004797752</v>
          </cell>
          <cell r="DC55">
            <v>0</v>
          </cell>
          <cell r="DD55">
            <v>212948.90569650929</v>
          </cell>
          <cell r="DE55">
            <v>175083.70208424429</v>
          </cell>
          <cell r="DF55">
            <v>25683.522742578523</v>
          </cell>
          <cell r="DG55">
            <v>0</v>
          </cell>
          <cell r="DH55">
            <v>0</v>
          </cell>
          <cell r="DI55">
            <v>413716.1305233321</v>
          </cell>
          <cell r="DJ55">
            <v>0</v>
          </cell>
          <cell r="DK55">
            <v>55004.81</v>
          </cell>
          <cell r="DL55">
            <v>3393.6</v>
          </cell>
          <cell r="DM55">
            <v>70073.495851086889</v>
          </cell>
          <cell r="DN55">
            <v>0</v>
          </cell>
          <cell r="DO55">
            <v>0</v>
          </cell>
          <cell r="DP55">
            <v>0</v>
          </cell>
          <cell r="DQ55">
            <v>128471.90585108689</v>
          </cell>
          <cell r="DR55">
            <v>128521.25444332088</v>
          </cell>
          <cell r="DS55">
            <v>0</v>
          </cell>
          <cell r="DT55">
            <v>8153.7170096320333</v>
          </cell>
          <cell r="DU55">
            <v>0</v>
          </cell>
          <cell r="DV55">
            <v>0</v>
          </cell>
          <cell r="DW55">
            <v>0</v>
          </cell>
          <cell r="DX55">
            <v>136674.97145295292</v>
          </cell>
          <cell r="DY55">
            <v>12091.005936883892</v>
          </cell>
          <cell r="DZ55">
            <v>0</v>
          </cell>
          <cell r="EA55">
            <v>0</v>
          </cell>
          <cell r="EB55">
            <v>12091.005936883892</v>
          </cell>
          <cell r="EE55">
            <v>0</v>
          </cell>
          <cell r="EH55">
            <v>0</v>
          </cell>
          <cell r="EI55">
            <v>0</v>
          </cell>
          <cell r="EK55">
            <v>0</v>
          </cell>
          <cell r="EL55">
            <v>0</v>
          </cell>
          <cell r="EM55">
            <v>0</v>
          </cell>
          <cell r="EO55">
            <v>0</v>
          </cell>
          <cell r="EP55">
            <v>0</v>
          </cell>
          <cell r="EQ55">
            <v>226999.27079293085</v>
          </cell>
          <cell r="ER55">
            <v>2117053.0927218799</v>
          </cell>
          <cell r="ET55">
            <v>430.4</v>
          </cell>
          <cell r="EU55">
            <v>4918.8036540935873</v>
          </cell>
          <cell r="EV55" t="str">
            <v>No Variation Applied</v>
          </cell>
          <cell r="EW55">
            <v>120200</v>
          </cell>
          <cell r="EX55">
            <v>0</v>
          </cell>
          <cell r="EY55">
            <v>0</v>
          </cell>
          <cell r="EZ55">
            <v>477904.48908939032</v>
          </cell>
        </row>
        <row r="56">
          <cell r="C56" t="str">
            <v>Markeaton Primary School</v>
          </cell>
          <cell r="D56">
            <v>2436</v>
          </cell>
          <cell r="F56" t="str">
            <v/>
          </cell>
          <cell r="G56">
            <v>0</v>
          </cell>
          <cell r="H56">
            <v>0</v>
          </cell>
          <cell r="I56">
            <v>0</v>
          </cell>
          <cell r="J56">
            <v>0</v>
          </cell>
          <cell r="L56">
            <v>0</v>
          </cell>
          <cell r="M56">
            <v>0</v>
          </cell>
          <cell r="N56">
            <v>0</v>
          </cell>
          <cell r="S56">
            <v>0</v>
          </cell>
          <cell r="T56">
            <v>0</v>
          </cell>
          <cell r="U56">
            <v>45</v>
          </cell>
          <cell r="Y56">
            <v>44</v>
          </cell>
          <cell r="Z56">
            <v>45</v>
          </cell>
          <cell r="AA56">
            <v>46</v>
          </cell>
          <cell r="AB56">
            <v>41</v>
          </cell>
          <cell r="AC56">
            <v>47</v>
          </cell>
          <cell r="AD56">
            <v>36</v>
          </cell>
          <cell r="AK56">
            <v>785665.93822151981</v>
          </cell>
          <cell r="AL56">
            <v>304</v>
          </cell>
          <cell r="BS56">
            <v>0</v>
          </cell>
          <cell r="BT56">
            <v>0</v>
          </cell>
          <cell r="BU56">
            <v>0</v>
          </cell>
          <cell r="BV56">
            <v>0</v>
          </cell>
          <cell r="BW56">
            <v>0</v>
          </cell>
          <cell r="BX56">
            <v>0</v>
          </cell>
          <cell r="BY56">
            <v>0</v>
          </cell>
          <cell r="BZ56">
            <v>0</v>
          </cell>
          <cell r="CA56">
            <v>0</v>
          </cell>
          <cell r="CB56">
            <v>0</v>
          </cell>
          <cell r="CC56">
            <v>0</v>
          </cell>
          <cell r="CD56">
            <v>0</v>
          </cell>
          <cell r="CE56">
            <v>0</v>
          </cell>
          <cell r="CF56">
            <v>22680.611130037629</v>
          </cell>
          <cell r="CI56">
            <v>0</v>
          </cell>
          <cell r="CJ56">
            <v>0</v>
          </cell>
          <cell r="CK56">
            <v>6170.29</v>
          </cell>
          <cell r="CL56">
            <v>4840.1623238429929</v>
          </cell>
          <cell r="CM56">
            <v>33691.063453880619</v>
          </cell>
          <cell r="CQ56">
            <v>3808.6547972304647</v>
          </cell>
          <cell r="CR56">
            <v>1607.77</v>
          </cell>
          <cell r="CS56">
            <v>3233.3641624201437</v>
          </cell>
          <cell r="CT56">
            <v>8649.7889596506084</v>
          </cell>
          <cell r="CU56">
            <v>16517.813130614279</v>
          </cell>
          <cell r="CV56">
            <v>0</v>
          </cell>
          <cell r="CW56">
            <v>16517.813130614279</v>
          </cell>
          <cell r="CX56">
            <v>205994.57915850607</v>
          </cell>
          <cell r="CZ56">
            <v>205994.57915850607</v>
          </cell>
          <cell r="DC56">
            <v>0</v>
          </cell>
          <cell r="DD56">
            <v>57071.486498995218</v>
          </cell>
          <cell r="DE56">
            <v>52752.49205655152</v>
          </cell>
          <cell r="DF56">
            <v>1712.2348495052349</v>
          </cell>
          <cell r="DG56">
            <v>0</v>
          </cell>
          <cell r="DH56">
            <v>0</v>
          </cell>
          <cell r="DI56">
            <v>111536.21340505197</v>
          </cell>
          <cell r="DJ56">
            <v>0</v>
          </cell>
          <cell r="DK56">
            <v>13053</v>
          </cell>
          <cell r="DL56">
            <v>5092.29</v>
          </cell>
          <cell r="DM56">
            <v>70073.495851086889</v>
          </cell>
          <cell r="DN56">
            <v>0</v>
          </cell>
          <cell r="DO56">
            <v>0</v>
          </cell>
          <cell r="DP56">
            <v>0</v>
          </cell>
          <cell r="DQ56">
            <v>88218.785851086897</v>
          </cell>
          <cell r="DR56">
            <v>0</v>
          </cell>
          <cell r="DS56">
            <v>0</v>
          </cell>
          <cell r="DT56">
            <v>0</v>
          </cell>
          <cell r="DU56">
            <v>0</v>
          </cell>
          <cell r="DV56">
            <v>0</v>
          </cell>
          <cell r="DW56">
            <v>0</v>
          </cell>
          <cell r="DX56">
            <v>0</v>
          </cell>
          <cell r="DY56">
            <v>3267.8394424010521</v>
          </cell>
          <cell r="DZ56">
            <v>0</v>
          </cell>
          <cell r="EA56">
            <v>0</v>
          </cell>
          <cell r="EB56">
            <v>3267.8394424010521</v>
          </cell>
          <cell r="EE56">
            <v>0</v>
          </cell>
          <cell r="EH56">
            <v>0</v>
          </cell>
          <cell r="EI56">
            <v>0</v>
          </cell>
          <cell r="EK56">
            <v>0</v>
          </cell>
          <cell r="EL56">
            <v>6132</v>
          </cell>
          <cell r="EM56">
            <v>0</v>
          </cell>
          <cell r="EO56">
            <v>6132</v>
          </cell>
          <cell r="EP56">
            <v>35345.854678697651</v>
          </cell>
          <cell r="EQ56">
            <v>0</v>
          </cell>
          <cell r="ER56">
            <v>1295019.8763014087</v>
          </cell>
          <cell r="ET56">
            <v>304</v>
          </cell>
          <cell r="EU56">
            <v>4259.9338036230547</v>
          </cell>
          <cell r="EV56" t="str">
            <v>No Variation Applied</v>
          </cell>
          <cell r="EW56">
            <v>27500</v>
          </cell>
          <cell r="EX56">
            <v>0</v>
          </cell>
          <cell r="EY56">
            <v>0</v>
          </cell>
          <cell r="EZ56">
            <v>302731.32692344603</v>
          </cell>
        </row>
        <row r="57">
          <cell r="C57" t="str">
            <v>Portway Infant School</v>
          </cell>
          <cell r="D57">
            <v>2439</v>
          </cell>
          <cell r="F57" t="str">
            <v/>
          </cell>
          <cell r="G57">
            <v>0</v>
          </cell>
          <cell r="H57">
            <v>0</v>
          </cell>
          <cell r="I57">
            <v>0</v>
          </cell>
          <cell r="J57">
            <v>0</v>
          </cell>
          <cell r="L57">
            <v>0</v>
          </cell>
          <cell r="M57">
            <v>0</v>
          </cell>
          <cell r="N57">
            <v>0</v>
          </cell>
          <cell r="S57">
            <v>0</v>
          </cell>
          <cell r="T57">
            <v>0</v>
          </cell>
          <cell r="U57">
            <v>78</v>
          </cell>
          <cell r="Y57">
            <v>75</v>
          </cell>
          <cell r="Z57">
            <v>80</v>
          </cell>
          <cell r="AA57">
            <v>0</v>
          </cell>
          <cell r="AB57">
            <v>0</v>
          </cell>
          <cell r="AC57">
            <v>0</v>
          </cell>
          <cell r="AD57">
            <v>0</v>
          </cell>
          <cell r="AK57">
            <v>606529.87926005188</v>
          </cell>
          <cell r="AL57">
            <v>233</v>
          </cell>
          <cell r="BS57">
            <v>0</v>
          </cell>
          <cell r="BT57">
            <v>0</v>
          </cell>
          <cell r="BU57">
            <v>0</v>
          </cell>
          <cell r="BV57">
            <v>0</v>
          </cell>
          <cell r="BW57">
            <v>0</v>
          </cell>
          <cell r="BX57">
            <v>0</v>
          </cell>
          <cell r="BY57">
            <v>0</v>
          </cell>
          <cell r="BZ57">
            <v>0</v>
          </cell>
          <cell r="CA57">
            <v>0</v>
          </cell>
          <cell r="CB57">
            <v>0</v>
          </cell>
          <cell r="CC57">
            <v>0</v>
          </cell>
          <cell r="CD57">
            <v>0</v>
          </cell>
          <cell r="CE57">
            <v>0</v>
          </cell>
          <cell r="CF57">
            <v>34020.916695056439</v>
          </cell>
          <cell r="CI57">
            <v>0</v>
          </cell>
          <cell r="CJ57">
            <v>0</v>
          </cell>
          <cell r="CK57">
            <v>4729.2</v>
          </cell>
          <cell r="CL57">
            <v>3262.6849368989333</v>
          </cell>
          <cell r="CM57">
            <v>42012.801631955372</v>
          </cell>
          <cell r="CQ57">
            <v>761.73095944609292</v>
          </cell>
          <cell r="CR57">
            <v>602.91</v>
          </cell>
          <cell r="CS57">
            <v>1414.5968210588128</v>
          </cell>
          <cell r="CT57">
            <v>2779.2377805049055</v>
          </cell>
          <cell r="CU57">
            <v>0</v>
          </cell>
          <cell r="CV57">
            <v>0</v>
          </cell>
          <cell r="CW57">
            <v>0</v>
          </cell>
          <cell r="CX57">
            <v>0</v>
          </cell>
          <cell r="CZ57">
            <v>0</v>
          </cell>
          <cell r="DC57">
            <v>0</v>
          </cell>
          <cell r="DD57">
            <v>16280.858164054447</v>
          </cell>
          <cell r="DE57">
            <v>3183.3400378953506</v>
          </cell>
          <cell r="DF57">
            <v>856.11742475261747</v>
          </cell>
          <cell r="DG57">
            <v>0</v>
          </cell>
          <cell r="DH57">
            <v>0</v>
          </cell>
          <cell r="DI57">
            <v>20320.315626702417</v>
          </cell>
          <cell r="DJ57">
            <v>0</v>
          </cell>
          <cell r="DK57">
            <v>7762.5</v>
          </cell>
          <cell r="DL57">
            <v>3128.03</v>
          </cell>
          <cell r="DM57">
            <v>70073.495851086889</v>
          </cell>
          <cell r="DN57">
            <v>0</v>
          </cell>
          <cell r="DO57">
            <v>0</v>
          </cell>
          <cell r="DP57">
            <v>0</v>
          </cell>
          <cell r="DQ57">
            <v>80964.025851086888</v>
          </cell>
          <cell r="DR57">
            <v>0</v>
          </cell>
          <cell r="DS57">
            <v>0</v>
          </cell>
          <cell r="DT57">
            <v>0</v>
          </cell>
          <cell r="DU57">
            <v>0</v>
          </cell>
          <cell r="DV57">
            <v>0</v>
          </cell>
          <cell r="DW57">
            <v>0</v>
          </cell>
          <cell r="DX57">
            <v>0</v>
          </cell>
          <cell r="DY57">
            <v>1960.7036654406311</v>
          </cell>
          <cell r="DZ57">
            <v>0</v>
          </cell>
          <cell r="EA57">
            <v>0</v>
          </cell>
          <cell r="EB57">
            <v>1960.7036654406311</v>
          </cell>
          <cell r="EE57">
            <v>0</v>
          </cell>
          <cell r="EH57">
            <v>0</v>
          </cell>
          <cell r="EI57">
            <v>0</v>
          </cell>
          <cell r="EK57">
            <v>0</v>
          </cell>
          <cell r="EL57">
            <v>0</v>
          </cell>
          <cell r="EM57">
            <v>0</v>
          </cell>
          <cell r="EO57">
            <v>0</v>
          </cell>
          <cell r="EP57">
            <v>0</v>
          </cell>
          <cell r="EQ57">
            <v>0</v>
          </cell>
          <cell r="ER57">
            <v>754566.96381574194</v>
          </cell>
          <cell r="ET57">
            <v>233</v>
          </cell>
          <cell r="EU57">
            <v>3238.4848232435274</v>
          </cell>
          <cell r="EV57" t="str">
            <v>No Variation Applied</v>
          </cell>
          <cell r="EW57">
            <v>9000</v>
          </cell>
          <cell r="EX57">
            <v>0</v>
          </cell>
          <cell r="EY57">
            <v>0</v>
          </cell>
          <cell r="EZ57">
            <v>30235.25155501988</v>
          </cell>
        </row>
        <row r="58">
          <cell r="C58" t="str">
            <v>Portway Junior School</v>
          </cell>
          <cell r="D58">
            <v>2440</v>
          </cell>
          <cell r="F58" t="str">
            <v/>
          </cell>
          <cell r="G58">
            <v>0</v>
          </cell>
          <cell r="H58">
            <v>0</v>
          </cell>
          <cell r="I58">
            <v>0</v>
          </cell>
          <cell r="J58">
            <v>0</v>
          </cell>
          <cell r="L58">
            <v>0</v>
          </cell>
          <cell r="M58">
            <v>0</v>
          </cell>
          <cell r="N58">
            <v>0</v>
          </cell>
          <cell r="S58">
            <v>0</v>
          </cell>
          <cell r="T58">
            <v>0</v>
          </cell>
          <cell r="U58">
            <v>0</v>
          </cell>
          <cell r="Y58">
            <v>0</v>
          </cell>
          <cell r="Z58">
            <v>0</v>
          </cell>
          <cell r="AA58">
            <v>79</v>
          </cell>
          <cell r="AB58">
            <v>53</v>
          </cell>
          <cell r="AC58">
            <v>78</v>
          </cell>
          <cell r="AD58">
            <v>62</v>
          </cell>
          <cell r="AK58">
            <v>698850.45103578374</v>
          </cell>
          <cell r="AL58">
            <v>272</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I58">
            <v>0</v>
          </cell>
          <cell r="CJ58">
            <v>0</v>
          </cell>
          <cell r="CK58">
            <v>5520.78</v>
          </cell>
          <cell r="CL58">
            <v>3812.878269418447</v>
          </cell>
          <cell r="CM58">
            <v>9333.6582694184472</v>
          </cell>
          <cell r="CQ58">
            <v>2285.1928783382787</v>
          </cell>
          <cell r="CR58">
            <v>1004.86</v>
          </cell>
          <cell r="CS58">
            <v>1010.4263007562949</v>
          </cell>
          <cell r="CT58">
            <v>4300.4791790945737</v>
          </cell>
          <cell r="CU58">
            <v>9009.7162530623336</v>
          </cell>
          <cell r="CV58">
            <v>0</v>
          </cell>
          <cell r="CW58">
            <v>9009.7162530623336</v>
          </cell>
          <cell r="CX58">
            <v>0</v>
          </cell>
          <cell r="CZ58">
            <v>0</v>
          </cell>
          <cell r="DC58">
            <v>0</v>
          </cell>
          <cell r="DD58">
            <v>29921.975738103691</v>
          </cell>
          <cell r="DE58">
            <v>5229.7729193995046</v>
          </cell>
          <cell r="DF58">
            <v>1712.2348495052349</v>
          </cell>
          <cell r="DG58">
            <v>0</v>
          </cell>
          <cell r="DH58">
            <v>0</v>
          </cell>
          <cell r="DI58">
            <v>36863.98350700843</v>
          </cell>
          <cell r="DJ58">
            <v>0</v>
          </cell>
          <cell r="DK58">
            <v>31831</v>
          </cell>
          <cell r="DL58">
            <v>3895.73</v>
          </cell>
          <cell r="DM58">
            <v>70073.495851086889</v>
          </cell>
          <cell r="DN58">
            <v>0</v>
          </cell>
          <cell r="DO58">
            <v>0</v>
          </cell>
          <cell r="DP58">
            <v>0</v>
          </cell>
          <cell r="DQ58">
            <v>105800.2258510869</v>
          </cell>
          <cell r="DR58">
            <v>0</v>
          </cell>
          <cell r="DS58">
            <v>0</v>
          </cell>
          <cell r="DT58">
            <v>0</v>
          </cell>
          <cell r="DU58">
            <v>0</v>
          </cell>
          <cell r="DV58">
            <v>0</v>
          </cell>
          <cell r="DW58">
            <v>0</v>
          </cell>
          <cell r="DX58">
            <v>0</v>
          </cell>
          <cell r="DY58">
            <v>1960.7036654406311</v>
          </cell>
          <cell r="DZ58">
            <v>0</v>
          </cell>
          <cell r="EA58">
            <v>0</v>
          </cell>
          <cell r="EB58">
            <v>1960.7036654406311</v>
          </cell>
          <cell r="EE58">
            <v>0</v>
          </cell>
          <cell r="EH58">
            <v>0</v>
          </cell>
          <cell r="EI58">
            <v>0</v>
          </cell>
          <cell r="EK58">
            <v>0</v>
          </cell>
          <cell r="EL58">
            <v>1752</v>
          </cell>
          <cell r="EM58">
            <v>0</v>
          </cell>
          <cell r="EO58">
            <v>1752</v>
          </cell>
          <cell r="EP58">
            <v>17164.025855861721</v>
          </cell>
          <cell r="EQ58">
            <v>0</v>
          </cell>
          <cell r="ER58">
            <v>885035.24361675675</v>
          </cell>
          <cell r="ET58">
            <v>272</v>
          </cell>
          <cell r="EU58">
            <v>3253.8060427086643</v>
          </cell>
          <cell r="EV58" t="str">
            <v>No Variation Applied</v>
          </cell>
          <cell r="EW58">
            <v>19800</v>
          </cell>
          <cell r="EX58">
            <v>0</v>
          </cell>
          <cell r="EY58">
            <v>0</v>
          </cell>
          <cell r="EZ58">
            <v>57303.42726788664</v>
          </cell>
        </row>
        <row r="59">
          <cell r="C59" t="str">
            <v>Alvaston Junior School</v>
          </cell>
          <cell r="D59">
            <v>2442</v>
          </cell>
          <cell r="F59" t="str">
            <v/>
          </cell>
          <cell r="G59">
            <v>0</v>
          </cell>
          <cell r="H59">
            <v>0</v>
          </cell>
          <cell r="I59">
            <v>0</v>
          </cell>
          <cell r="J59">
            <v>0</v>
          </cell>
          <cell r="L59">
            <v>0</v>
          </cell>
          <cell r="M59">
            <v>0</v>
          </cell>
          <cell r="N59">
            <v>0</v>
          </cell>
          <cell r="S59">
            <v>0</v>
          </cell>
          <cell r="T59">
            <v>0</v>
          </cell>
          <cell r="U59">
            <v>0</v>
          </cell>
          <cell r="Y59">
            <v>0</v>
          </cell>
          <cell r="Z59">
            <v>0</v>
          </cell>
          <cell r="AA59">
            <v>82</v>
          </cell>
          <cell r="AB59">
            <v>75</v>
          </cell>
          <cell r="AC59">
            <v>69</v>
          </cell>
          <cell r="AD59">
            <v>69</v>
          </cell>
          <cell r="AK59">
            <v>757944.42299836839</v>
          </cell>
          <cell r="AL59">
            <v>295</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I59">
            <v>0</v>
          </cell>
          <cell r="CJ59">
            <v>0</v>
          </cell>
          <cell r="CK59">
            <v>5987.61</v>
          </cell>
          <cell r="CL59">
            <v>2109.3950668099533</v>
          </cell>
          <cell r="CM59">
            <v>8097.005066809953</v>
          </cell>
          <cell r="CQ59">
            <v>6093.8476755687434</v>
          </cell>
          <cell r="CR59">
            <v>2612.63</v>
          </cell>
          <cell r="CS59">
            <v>4445.8757233276974</v>
          </cell>
          <cell r="CT59">
            <v>13152.353398896441</v>
          </cell>
          <cell r="CU59">
            <v>4254.5882306127687</v>
          </cell>
          <cell r="CV59">
            <v>9009.7162530623336</v>
          </cell>
          <cell r="CW59">
            <v>13264.304483675103</v>
          </cell>
          <cell r="CX59">
            <v>184491.52137222089</v>
          </cell>
          <cell r="CZ59">
            <v>184491.52137222089</v>
          </cell>
          <cell r="DC59">
            <v>0</v>
          </cell>
          <cell r="DD59">
            <v>113154.91367100524</v>
          </cell>
          <cell r="DE59">
            <v>93908.531117912833</v>
          </cell>
          <cell r="DF59">
            <v>8561.1742475261744</v>
          </cell>
          <cell r="DG59">
            <v>0</v>
          </cell>
          <cell r="DH59">
            <v>0</v>
          </cell>
          <cell r="DI59">
            <v>215624.61903644426</v>
          </cell>
          <cell r="DJ59">
            <v>0</v>
          </cell>
          <cell r="DK59">
            <v>13282</v>
          </cell>
          <cell r="DL59">
            <v>8271.5499999999993</v>
          </cell>
          <cell r="DM59">
            <v>70073.495851086889</v>
          </cell>
          <cell r="DN59">
            <v>0</v>
          </cell>
          <cell r="DO59">
            <v>0</v>
          </cell>
          <cell r="DP59">
            <v>0</v>
          </cell>
          <cell r="DQ59">
            <v>91627.045851086892</v>
          </cell>
          <cell r="DR59">
            <v>0</v>
          </cell>
          <cell r="DS59">
            <v>0</v>
          </cell>
          <cell r="DT59">
            <v>0</v>
          </cell>
          <cell r="DU59">
            <v>0</v>
          </cell>
          <cell r="DV59">
            <v>0</v>
          </cell>
          <cell r="DW59">
            <v>0</v>
          </cell>
          <cell r="DX59">
            <v>0</v>
          </cell>
          <cell r="DY59">
            <v>5882.1109963218933</v>
          </cell>
          <cell r="DZ59">
            <v>0</v>
          </cell>
          <cell r="EA59">
            <v>0</v>
          </cell>
          <cell r="EB59">
            <v>5882.1109963218933</v>
          </cell>
          <cell r="EE59">
            <v>0</v>
          </cell>
          <cell r="EH59">
            <v>0</v>
          </cell>
          <cell r="EI59">
            <v>0</v>
          </cell>
          <cell r="EK59">
            <v>0</v>
          </cell>
          <cell r="EL59">
            <v>0</v>
          </cell>
          <cell r="EM59">
            <v>0</v>
          </cell>
          <cell r="EO59">
            <v>0</v>
          </cell>
          <cell r="EP59">
            <v>0</v>
          </cell>
          <cell r="EQ59">
            <v>0</v>
          </cell>
          <cell r="ER59">
            <v>1290083.3832038238</v>
          </cell>
          <cell r="ET59">
            <v>295</v>
          </cell>
          <cell r="EU59">
            <v>4373.1640108604197</v>
          </cell>
          <cell r="EV59" t="str">
            <v>No Variation Applied</v>
          </cell>
          <cell r="EW59">
            <v>66850</v>
          </cell>
          <cell r="EX59">
            <v>0</v>
          </cell>
          <cell r="EY59">
            <v>0</v>
          </cell>
          <cell r="EZ59">
            <v>346433.95629048627</v>
          </cell>
        </row>
        <row r="60">
          <cell r="C60" t="str">
            <v>Alvaston Infant and Nursery School</v>
          </cell>
          <cell r="D60">
            <v>2443</v>
          </cell>
          <cell r="F60" t="str">
            <v/>
          </cell>
          <cell r="G60">
            <v>0</v>
          </cell>
          <cell r="H60">
            <v>29190</v>
          </cell>
          <cell r="I60">
            <v>0</v>
          </cell>
          <cell r="J60">
            <v>0</v>
          </cell>
          <cell r="L60">
            <v>102060.82793781464</v>
          </cell>
          <cell r="M60">
            <v>29190</v>
          </cell>
          <cell r="N60">
            <v>30.726315789473684</v>
          </cell>
          <cell r="S60">
            <v>0</v>
          </cell>
          <cell r="T60">
            <v>0</v>
          </cell>
          <cell r="U60">
            <v>90</v>
          </cell>
          <cell r="Y60">
            <v>90</v>
          </cell>
          <cell r="Z60">
            <v>82</v>
          </cell>
          <cell r="AA60">
            <v>0</v>
          </cell>
          <cell r="AB60">
            <v>0</v>
          </cell>
          <cell r="AC60">
            <v>0</v>
          </cell>
          <cell r="AD60">
            <v>0</v>
          </cell>
          <cell r="AK60">
            <v>683066.83566317311</v>
          </cell>
          <cell r="AL60">
            <v>262</v>
          </cell>
          <cell r="BS60">
            <v>9284.16</v>
          </cell>
          <cell r="BT60">
            <v>0</v>
          </cell>
          <cell r="BU60">
            <v>0</v>
          </cell>
          <cell r="BV60">
            <v>0</v>
          </cell>
          <cell r="BW60">
            <v>0</v>
          </cell>
          <cell r="BX60">
            <v>-4287.4839999999967</v>
          </cell>
          <cell r="BY60">
            <v>0</v>
          </cell>
          <cell r="BZ60">
            <v>1003.8498</v>
          </cell>
          <cell r="CA60">
            <v>0</v>
          </cell>
          <cell r="CB60">
            <v>0</v>
          </cell>
          <cell r="CC60">
            <v>0</v>
          </cell>
          <cell r="CD60">
            <v>0</v>
          </cell>
          <cell r="CE60">
            <v>6000.5258000000031</v>
          </cell>
          <cell r="CF60">
            <v>34020.916695056439</v>
          </cell>
          <cell r="CI60">
            <v>0</v>
          </cell>
          <cell r="CJ60">
            <v>0</v>
          </cell>
          <cell r="CK60">
            <v>5317.81</v>
          </cell>
          <cell r="CL60">
            <v>2076.6912673245274</v>
          </cell>
          <cell r="CM60">
            <v>41415.417962380961</v>
          </cell>
          <cell r="CQ60">
            <v>761.73095944609292</v>
          </cell>
          <cell r="CR60">
            <v>2813.6</v>
          </cell>
          <cell r="CS60">
            <v>5052.1315037814747</v>
          </cell>
          <cell r="CT60">
            <v>8627.4624632275682</v>
          </cell>
          <cell r="CU60">
            <v>13014.034587756705</v>
          </cell>
          <cell r="CV60">
            <v>0</v>
          </cell>
          <cell r="CW60">
            <v>13014.034587756705</v>
          </cell>
          <cell r="CX60">
            <v>0</v>
          </cell>
          <cell r="CZ60">
            <v>0</v>
          </cell>
          <cell r="DC60">
            <v>0</v>
          </cell>
          <cell r="DD60">
            <v>90532.779229284657</v>
          </cell>
          <cell r="DE60">
            <v>79810.882378662005</v>
          </cell>
          <cell r="DF60">
            <v>5136.704548515705</v>
          </cell>
          <cell r="DG60">
            <v>0</v>
          </cell>
          <cell r="DH60">
            <v>0</v>
          </cell>
          <cell r="DI60">
            <v>175480.36615646238</v>
          </cell>
          <cell r="DJ60">
            <v>0</v>
          </cell>
          <cell r="DK60">
            <v>13282</v>
          </cell>
          <cell r="DL60">
            <v>3171.21</v>
          </cell>
          <cell r="DM60">
            <v>70073.495851086889</v>
          </cell>
          <cell r="DN60">
            <v>0</v>
          </cell>
          <cell r="DO60">
            <v>0</v>
          </cell>
          <cell r="DP60">
            <v>0</v>
          </cell>
          <cell r="DQ60">
            <v>86526.705851086881</v>
          </cell>
          <cell r="DR60">
            <v>0</v>
          </cell>
          <cell r="DS60">
            <v>0</v>
          </cell>
          <cell r="DT60">
            <v>0</v>
          </cell>
          <cell r="DU60">
            <v>0</v>
          </cell>
          <cell r="DV60">
            <v>0</v>
          </cell>
          <cell r="DW60">
            <v>0</v>
          </cell>
          <cell r="DX60">
            <v>0</v>
          </cell>
          <cell r="DY60">
            <v>2941.0554981609466</v>
          </cell>
          <cell r="DZ60">
            <v>0</v>
          </cell>
          <cell r="EA60">
            <v>0</v>
          </cell>
          <cell r="EB60">
            <v>2941.0554981609466</v>
          </cell>
          <cell r="EE60">
            <v>0</v>
          </cell>
          <cell r="EH60">
            <v>0</v>
          </cell>
          <cell r="EI60">
            <v>0</v>
          </cell>
          <cell r="EK60">
            <v>0</v>
          </cell>
          <cell r="EL60">
            <v>4254</v>
          </cell>
          <cell r="EM60">
            <v>0</v>
          </cell>
          <cell r="EO60">
            <v>4254</v>
          </cell>
          <cell r="EP60">
            <v>0</v>
          </cell>
          <cell r="EQ60">
            <v>108061.35373781464</v>
          </cell>
          <cell r="ER60">
            <v>1123387.231920063</v>
          </cell>
          <cell r="ET60">
            <v>292.72631578947369</v>
          </cell>
          <cell r="EU60">
            <v>3837.6707911973099</v>
          </cell>
          <cell r="EV60" t="str">
            <v>No Variation Applied</v>
          </cell>
          <cell r="EW60">
            <v>38050</v>
          </cell>
          <cell r="EX60">
            <v>0</v>
          </cell>
          <cell r="EY60">
            <v>0</v>
          </cell>
          <cell r="EZ60">
            <v>127193.05939323893</v>
          </cell>
        </row>
        <row r="61">
          <cell r="C61" t="str">
            <v>Shelton Infant School</v>
          </cell>
          <cell r="D61">
            <v>2444</v>
          </cell>
          <cell r="F61" t="str">
            <v/>
          </cell>
          <cell r="G61">
            <v>0</v>
          </cell>
          <cell r="H61">
            <v>29568</v>
          </cell>
          <cell r="I61">
            <v>0</v>
          </cell>
          <cell r="J61">
            <v>0</v>
          </cell>
          <cell r="L61">
            <v>103382.4789470813</v>
          </cell>
          <cell r="M61">
            <v>29568</v>
          </cell>
          <cell r="N61">
            <v>31.124210526315789</v>
          </cell>
          <cell r="S61">
            <v>0</v>
          </cell>
          <cell r="T61">
            <v>0</v>
          </cell>
          <cell r="U61">
            <v>70</v>
          </cell>
          <cell r="Y61">
            <v>70</v>
          </cell>
          <cell r="Z61">
            <v>69</v>
          </cell>
          <cell r="AA61">
            <v>0</v>
          </cell>
          <cell r="AB61">
            <v>0</v>
          </cell>
          <cell r="AC61">
            <v>0</v>
          </cell>
          <cell r="AD61">
            <v>0</v>
          </cell>
          <cell r="AK61">
            <v>544070.3706695314</v>
          </cell>
          <cell r="AL61">
            <v>209</v>
          </cell>
          <cell r="BS61">
            <v>10583.942400000002</v>
          </cell>
          <cell r="BT61">
            <v>0</v>
          </cell>
          <cell r="BU61">
            <v>464.20800000000003</v>
          </cell>
          <cell r="BV61">
            <v>0</v>
          </cell>
          <cell r="BW61">
            <v>0</v>
          </cell>
          <cell r="BX61">
            <v>-4943.4777999999933</v>
          </cell>
          <cell r="BY61">
            <v>0</v>
          </cell>
          <cell r="BZ61">
            <v>2007.6995999999999</v>
          </cell>
          <cell r="CA61">
            <v>0</v>
          </cell>
          <cell r="CB61">
            <v>0</v>
          </cell>
          <cell r="CC61">
            <v>0</v>
          </cell>
          <cell r="CD61">
            <v>0</v>
          </cell>
          <cell r="CE61">
            <v>8112.3722000000089</v>
          </cell>
          <cell r="CF61">
            <v>34020.916695056439</v>
          </cell>
          <cell r="CI61">
            <v>0</v>
          </cell>
          <cell r="CJ61">
            <v>0</v>
          </cell>
          <cell r="CK61">
            <v>4242.07</v>
          </cell>
          <cell r="CL61">
            <v>2500.878784179607</v>
          </cell>
          <cell r="CM61">
            <v>40763.865479236047</v>
          </cell>
          <cell r="CQ61">
            <v>2285.1928783382787</v>
          </cell>
          <cell r="CR61">
            <v>2009.71</v>
          </cell>
          <cell r="CS61">
            <v>4041.7052030251798</v>
          </cell>
          <cell r="CT61">
            <v>8336.608081363458</v>
          </cell>
          <cell r="CU61">
            <v>8759.4463571439355</v>
          </cell>
          <cell r="CV61">
            <v>0</v>
          </cell>
          <cell r="CW61">
            <v>8759.4463571439355</v>
          </cell>
          <cell r="CX61">
            <v>0</v>
          </cell>
          <cell r="CZ61">
            <v>0</v>
          </cell>
          <cell r="DC61">
            <v>0</v>
          </cell>
          <cell r="DD61">
            <v>64194.361945769037</v>
          </cell>
          <cell r="DE61">
            <v>77309.68663460137</v>
          </cell>
          <cell r="DF61">
            <v>6848.9393980209397</v>
          </cell>
          <cell r="DG61">
            <v>0</v>
          </cell>
          <cell r="DH61">
            <v>0</v>
          </cell>
          <cell r="DI61">
            <v>148352.98797839135</v>
          </cell>
          <cell r="DJ61">
            <v>0</v>
          </cell>
          <cell r="DK61">
            <v>8816.5</v>
          </cell>
          <cell r="DL61">
            <v>3174.66</v>
          </cell>
          <cell r="DM61">
            <v>70073.495851086889</v>
          </cell>
          <cell r="DN61">
            <v>0</v>
          </cell>
          <cell r="DO61">
            <v>0</v>
          </cell>
          <cell r="DP61">
            <v>0</v>
          </cell>
          <cell r="DQ61">
            <v>82064.655851086893</v>
          </cell>
          <cell r="DR61">
            <v>0</v>
          </cell>
          <cell r="DS61">
            <v>0</v>
          </cell>
          <cell r="DT61">
            <v>0</v>
          </cell>
          <cell r="DU61">
            <v>0</v>
          </cell>
          <cell r="DV61">
            <v>0</v>
          </cell>
          <cell r="DW61">
            <v>0</v>
          </cell>
          <cell r="DX61">
            <v>0</v>
          </cell>
          <cell r="DY61">
            <v>1960.7036654406311</v>
          </cell>
          <cell r="DZ61">
            <v>0</v>
          </cell>
          <cell r="EA61">
            <v>0</v>
          </cell>
          <cell r="EB61">
            <v>1960.7036654406311</v>
          </cell>
          <cell r="EE61">
            <v>0</v>
          </cell>
          <cell r="EH61">
            <v>0</v>
          </cell>
          <cell r="EI61">
            <v>0</v>
          </cell>
          <cell r="EK61">
            <v>0</v>
          </cell>
          <cell r="EL61">
            <v>25466</v>
          </cell>
          <cell r="EM61">
            <v>0</v>
          </cell>
          <cell r="EO61">
            <v>25466</v>
          </cell>
          <cell r="EP61">
            <v>0</v>
          </cell>
          <cell r="EQ61">
            <v>111494.85114708131</v>
          </cell>
          <cell r="ER61">
            <v>971269.48922927491</v>
          </cell>
          <cell r="ET61">
            <v>240.12421052631578</v>
          </cell>
          <cell r="EU61">
            <v>4044.8628112109136</v>
          </cell>
          <cell r="EV61" t="str">
            <v>No Variation Applied</v>
          </cell>
          <cell r="EW61">
            <v>29900</v>
          </cell>
          <cell r="EX61">
            <v>0</v>
          </cell>
          <cell r="EY61">
            <v>0</v>
          </cell>
          <cell r="EZ61">
            <v>97296.539313970992</v>
          </cell>
        </row>
        <row r="62">
          <cell r="C62" t="str">
            <v>Breadsall Hill Top Infant &amp; Nursery School</v>
          </cell>
          <cell r="D62">
            <v>2446</v>
          </cell>
          <cell r="F62" t="str">
            <v/>
          </cell>
          <cell r="G62">
            <v>0</v>
          </cell>
          <cell r="H62">
            <v>29640</v>
          </cell>
          <cell r="I62">
            <v>0</v>
          </cell>
          <cell r="J62">
            <v>0</v>
          </cell>
          <cell r="L62">
            <v>103634.22199646542</v>
          </cell>
          <cell r="M62">
            <v>29640</v>
          </cell>
          <cell r="N62">
            <v>31.2</v>
          </cell>
          <cell r="S62">
            <v>0</v>
          </cell>
          <cell r="T62">
            <v>0</v>
          </cell>
          <cell r="U62">
            <v>53</v>
          </cell>
          <cell r="Y62">
            <v>54</v>
          </cell>
          <cell r="Z62">
            <v>59</v>
          </cell>
          <cell r="AA62">
            <v>0</v>
          </cell>
          <cell r="AB62">
            <v>0</v>
          </cell>
          <cell r="AC62">
            <v>0</v>
          </cell>
          <cell r="AD62">
            <v>0</v>
          </cell>
          <cell r="AK62">
            <v>430946.55089485773</v>
          </cell>
          <cell r="AL62">
            <v>166</v>
          </cell>
          <cell r="BS62">
            <v>10792.835999999999</v>
          </cell>
          <cell r="BT62">
            <v>0</v>
          </cell>
          <cell r="BU62">
            <v>464.20800000000003</v>
          </cell>
          <cell r="BV62">
            <v>0</v>
          </cell>
          <cell r="BW62">
            <v>0</v>
          </cell>
          <cell r="BX62">
            <v>-3324.639599999995</v>
          </cell>
          <cell r="BY62">
            <v>0</v>
          </cell>
          <cell r="BZ62">
            <v>3011.5493999999999</v>
          </cell>
          <cell r="CA62">
            <v>0</v>
          </cell>
          <cell r="CB62">
            <v>0</v>
          </cell>
          <cell r="CC62">
            <v>0</v>
          </cell>
          <cell r="CD62">
            <v>0</v>
          </cell>
          <cell r="CE62">
            <v>10943.953800000005</v>
          </cell>
          <cell r="CF62">
            <v>22680.611130037629</v>
          </cell>
          <cell r="CI62">
            <v>0</v>
          </cell>
          <cell r="CJ62">
            <v>0</v>
          </cell>
          <cell r="CK62">
            <v>3369.3</v>
          </cell>
          <cell r="CL62">
            <v>996.50400785002796</v>
          </cell>
          <cell r="CM62">
            <v>27046.415137887656</v>
          </cell>
          <cell r="CQ62">
            <v>4570.3857566765573</v>
          </cell>
          <cell r="CR62">
            <v>2210.69</v>
          </cell>
          <cell r="CS62">
            <v>2222.9378616638487</v>
          </cell>
          <cell r="CT62">
            <v>9004.0136183404065</v>
          </cell>
          <cell r="CU62">
            <v>4805.1820016332449</v>
          </cell>
          <cell r="CV62">
            <v>0</v>
          </cell>
          <cell r="CW62">
            <v>4805.1820016332449</v>
          </cell>
          <cell r="CX62">
            <v>0</v>
          </cell>
          <cell r="CZ62">
            <v>0</v>
          </cell>
          <cell r="DC62">
            <v>0</v>
          </cell>
          <cell r="DD62">
            <v>71966.11217444358</v>
          </cell>
          <cell r="DE62">
            <v>60483.460720011659</v>
          </cell>
          <cell r="DF62">
            <v>5992.8219732683219</v>
          </cell>
          <cell r="DG62">
            <v>0</v>
          </cell>
          <cell r="DH62">
            <v>0</v>
          </cell>
          <cell r="DI62">
            <v>138442.39486772355</v>
          </cell>
          <cell r="DJ62">
            <v>0</v>
          </cell>
          <cell r="DK62">
            <v>8473</v>
          </cell>
          <cell r="DL62">
            <v>2753.52</v>
          </cell>
          <cell r="DM62">
            <v>74722.185859261808</v>
          </cell>
          <cell r="DN62">
            <v>0</v>
          </cell>
          <cell r="DO62">
            <v>0</v>
          </cell>
          <cell r="DP62">
            <v>0</v>
          </cell>
          <cell r="DQ62">
            <v>85948.705859261812</v>
          </cell>
          <cell r="DR62">
            <v>0</v>
          </cell>
          <cell r="DS62">
            <v>0</v>
          </cell>
          <cell r="DT62">
            <v>0</v>
          </cell>
          <cell r="DU62">
            <v>0</v>
          </cell>
          <cell r="DV62">
            <v>0</v>
          </cell>
          <cell r="DW62">
            <v>0</v>
          </cell>
          <cell r="DX62">
            <v>0</v>
          </cell>
          <cell r="DY62">
            <v>2941.0554981609466</v>
          </cell>
          <cell r="DZ62">
            <v>0</v>
          </cell>
          <cell r="EA62">
            <v>0</v>
          </cell>
          <cell r="EB62">
            <v>2941.0554981609466</v>
          </cell>
          <cell r="EE62">
            <v>0</v>
          </cell>
          <cell r="EH62">
            <v>0</v>
          </cell>
          <cell r="EI62">
            <v>0</v>
          </cell>
          <cell r="EK62">
            <v>0</v>
          </cell>
          <cell r="EL62">
            <v>0</v>
          </cell>
          <cell r="EM62">
            <v>0</v>
          </cell>
          <cell r="EO62">
            <v>0</v>
          </cell>
          <cell r="EP62">
            <v>0</v>
          </cell>
          <cell r="EQ62">
            <v>114578.17579646542</v>
          </cell>
          <cell r="ER62">
            <v>813712.49367433088</v>
          </cell>
          <cell r="ET62">
            <v>197.2</v>
          </cell>
          <cell r="EU62">
            <v>4126.3311038252077</v>
          </cell>
          <cell r="EV62" t="str">
            <v>No Variation Applied</v>
          </cell>
          <cell r="EW62">
            <v>30150</v>
          </cell>
          <cell r="EX62">
            <v>0</v>
          </cell>
          <cell r="EY62">
            <v>0</v>
          </cell>
          <cell r="EZ62">
            <v>102924.6940859858</v>
          </cell>
        </row>
        <row r="63">
          <cell r="C63" t="str">
            <v>Breadsall Hill Top Junior School</v>
          </cell>
          <cell r="D63">
            <v>2447</v>
          </cell>
          <cell r="F63" t="str">
            <v/>
          </cell>
          <cell r="G63">
            <v>0</v>
          </cell>
          <cell r="H63">
            <v>0</v>
          </cell>
          <cell r="I63">
            <v>0</v>
          </cell>
          <cell r="J63">
            <v>0</v>
          </cell>
          <cell r="L63">
            <v>0</v>
          </cell>
          <cell r="M63">
            <v>0</v>
          </cell>
          <cell r="N63">
            <v>0</v>
          </cell>
          <cell r="S63">
            <v>0</v>
          </cell>
          <cell r="T63">
            <v>0</v>
          </cell>
          <cell r="U63">
            <v>0</v>
          </cell>
          <cell r="Y63">
            <v>0</v>
          </cell>
          <cell r="Z63">
            <v>0</v>
          </cell>
          <cell r="AA63">
            <v>54</v>
          </cell>
          <cell r="AB63">
            <v>56</v>
          </cell>
          <cell r="AC63">
            <v>46</v>
          </cell>
          <cell r="AD63">
            <v>57</v>
          </cell>
          <cell r="AK63">
            <v>547261.56643611006</v>
          </cell>
          <cell r="AL63">
            <v>213</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I63">
            <v>0</v>
          </cell>
          <cell r="CJ63">
            <v>0</v>
          </cell>
          <cell r="CK63">
            <v>4323.26</v>
          </cell>
          <cell r="CL63">
            <v>2019.9405564527594</v>
          </cell>
          <cell r="CM63">
            <v>6343.2005564527599</v>
          </cell>
          <cell r="CQ63">
            <v>3046.9238377843717</v>
          </cell>
          <cell r="CR63">
            <v>1607.77</v>
          </cell>
          <cell r="CS63">
            <v>2425.0231218151075</v>
          </cell>
          <cell r="CT63">
            <v>7079.7169595994792</v>
          </cell>
          <cell r="CU63">
            <v>0</v>
          </cell>
          <cell r="CV63">
            <v>0</v>
          </cell>
          <cell r="CW63">
            <v>0</v>
          </cell>
          <cell r="CX63">
            <v>0</v>
          </cell>
          <cell r="CZ63">
            <v>0</v>
          </cell>
          <cell r="DC63">
            <v>0</v>
          </cell>
          <cell r="DD63">
            <v>91373.367014928779</v>
          </cell>
          <cell r="DE63">
            <v>76400.160909488404</v>
          </cell>
          <cell r="DF63">
            <v>10273.40909703141</v>
          </cell>
          <cell r="DG63">
            <v>0</v>
          </cell>
          <cell r="DH63">
            <v>0</v>
          </cell>
          <cell r="DI63">
            <v>178046.93702144857</v>
          </cell>
          <cell r="DJ63">
            <v>0</v>
          </cell>
          <cell r="DK63">
            <v>8473</v>
          </cell>
          <cell r="DL63">
            <v>4015.17</v>
          </cell>
          <cell r="DM63">
            <v>70073.495851086889</v>
          </cell>
          <cell r="DN63">
            <v>0</v>
          </cell>
          <cell r="DO63">
            <v>0</v>
          </cell>
          <cell r="DP63">
            <v>0</v>
          </cell>
          <cell r="DQ63">
            <v>82561.665851086887</v>
          </cell>
          <cell r="DR63">
            <v>0</v>
          </cell>
          <cell r="DS63">
            <v>0</v>
          </cell>
          <cell r="DT63">
            <v>0</v>
          </cell>
          <cell r="DU63">
            <v>0</v>
          </cell>
          <cell r="DV63">
            <v>0</v>
          </cell>
          <cell r="DW63">
            <v>0</v>
          </cell>
          <cell r="DX63">
            <v>0</v>
          </cell>
          <cell r="DY63">
            <v>2614.2715539208416</v>
          </cell>
          <cell r="DZ63">
            <v>0</v>
          </cell>
          <cell r="EA63">
            <v>0</v>
          </cell>
          <cell r="EB63">
            <v>2614.2715539208416</v>
          </cell>
          <cell r="EE63">
            <v>0</v>
          </cell>
          <cell r="EH63">
            <v>0</v>
          </cell>
          <cell r="EI63">
            <v>0</v>
          </cell>
          <cell r="EK63">
            <v>0</v>
          </cell>
          <cell r="EL63">
            <v>1001</v>
          </cell>
          <cell r="EM63">
            <v>0</v>
          </cell>
          <cell r="EO63">
            <v>1001</v>
          </cell>
          <cell r="EP63">
            <v>9044.6920742323855</v>
          </cell>
          <cell r="EQ63">
            <v>0</v>
          </cell>
          <cell r="ER63">
            <v>833953.05045285088</v>
          </cell>
          <cell r="ET63">
            <v>213</v>
          </cell>
          <cell r="EU63">
            <v>3915.2725373373282</v>
          </cell>
          <cell r="EV63" t="str">
            <v>No Variation Applied</v>
          </cell>
          <cell r="EW63">
            <v>55200</v>
          </cell>
          <cell r="EX63">
            <v>0</v>
          </cell>
          <cell r="EY63">
            <v>0</v>
          </cell>
          <cell r="EZ63">
            <v>117849.79461826822</v>
          </cell>
        </row>
        <row r="64">
          <cell r="C64" t="str">
            <v>Cavendish Close Junior School</v>
          </cell>
          <cell r="D64">
            <v>2448</v>
          </cell>
          <cell r="F64" t="str">
            <v/>
          </cell>
          <cell r="G64">
            <v>0</v>
          </cell>
          <cell r="H64">
            <v>0</v>
          </cell>
          <cell r="I64">
            <v>0</v>
          </cell>
          <cell r="J64">
            <v>0</v>
          </cell>
          <cell r="L64">
            <v>0</v>
          </cell>
          <cell r="M64">
            <v>0</v>
          </cell>
          <cell r="N64">
            <v>0</v>
          </cell>
          <cell r="S64">
            <v>0</v>
          </cell>
          <cell r="T64">
            <v>0</v>
          </cell>
          <cell r="U64">
            <v>0</v>
          </cell>
          <cell r="Y64">
            <v>0</v>
          </cell>
          <cell r="Z64">
            <v>0</v>
          </cell>
          <cell r="AA64">
            <v>77</v>
          </cell>
          <cell r="AB64">
            <v>71</v>
          </cell>
          <cell r="AC64">
            <v>80</v>
          </cell>
          <cell r="AD64">
            <v>90</v>
          </cell>
          <cell r="AK64">
            <v>817038.39496095316</v>
          </cell>
          <cell r="AL64">
            <v>318</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I64">
            <v>0</v>
          </cell>
          <cell r="CJ64">
            <v>0</v>
          </cell>
          <cell r="CK64">
            <v>6454.45</v>
          </cell>
          <cell r="CL64">
            <v>3143.4122564226755</v>
          </cell>
          <cell r="CM64">
            <v>9597.8622564226753</v>
          </cell>
          <cell r="CQ64">
            <v>3808.6547972304647</v>
          </cell>
          <cell r="CR64">
            <v>2411.66</v>
          </cell>
          <cell r="CS64">
            <v>808.34104060503591</v>
          </cell>
          <cell r="CT64">
            <v>7028.6558378355012</v>
          </cell>
          <cell r="CU64">
            <v>18144.567454083866</v>
          </cell>
          <cell r="CV64">
            <v>0</v>
          </cell>
          <cell r="CW64">
            <v>18144.567454083866</v>
          </cell>
          <cell r="CX64">
            <v>0</v>
          </cell>
          <cell r="CZ64">
            <v>0</v>
          </cell>
          <cell r="DC64">
            <v>0</v>
          </cell>
          <cell r="DD64">
            <v>89987.134526322698</v>
          </cell>
          <cell r="DE64">
            <v>48659.626293543217</v>
          </cell>
          <cell r="DF64">
            <v>5992.8219732683219</v>
          </cell>
          <cell r="DG64">
            <v>0</v>
          </cell>
          <cell r="DH64">
            <v>0</v>
          </cell>
          <cell r="DI64">
            <v>144639.58279313424</v>
          </cell>
          <cell r="DJ64">
            <v>0</v>
          </cell>
          <cell r="DK64">
            <v>16373.5</v>
          </cell>
          <cell r="DL64">
            <v>5743.66</v>
          </cell>
          <cell r="DM64">
            <v>70073.495851086889</v>
          </cell>
          <cell r="DN64">
            <v>0</v>
          </cell>
          <cell r="DO64">
            <v>0</v>
          </cell>
          <cell r="DP64">
            <v>0</v>
          </cell>
          <cell r="DQ64">
            <v>92190.655851086893</v>
          </cell>
          <cell r="DR64">
            <v>0</v>
          </cell>
          <cell r="DS64">
            <v>0</v>
          </cell>
          <cell r="DT64">
            <v>0</v>
          </cell>
          <cell r="DU64">
            <v>0</v>
          </cell>
          <cell r="DV64">
            <v>0</v>
          </cell>
          <cell r="DW64">
            <v>0</v>
          </cell>
          <cell r="DX64">
            <v>0</v>
          </cell>
          <cell r="DY64">
            <v>2287.4876096807366</v>
          </cell>
          <cell r="DZ64">
            <v>0</v>
          </cell>
          <cell r="EA64">
            <v>0</v>
          </cell>
          <cell r="EB64">
            <v>2287.4876096807366</v>
          </cell>
          <cell r="EE64">
            <v>0</v>
          </cell>
          <cell r="EH64">
            <v>0</v>
          </cell>
          <cell r="EI64">
            <v>0</v>
          </cell>
          <cell r="EK64">
            <v>0</v>
          </cell>
          <cell r="EL64">
            <v>0</v>
          </cell>
          <cell r="EM64">
            <v>0</v>
          </cell>
          <cell r="EO64">
            <v>0</v>
          </cell>
          <cell r="EP64">
            <v>19394.120072483551</v>
          </cell>
          <cell r="EQ64">
            <v>0</v>
          </cell>
          <cell r="ER64">
            <v>1110321.3268356805</v>
          </cell>
          <cell r="ET64">
            <v>318</v>
          </cell>
          <cell r="EU64">
            <v>3491.5764994832721</v>
          </cell>
          <cell r="EV64" t="str">
            <v>No Variation Applied</v>
          </cell>
          <cell r="EW64">
            <v>58200</v>
          </cell>
          <cell r="EX64">
            <v>0</v>
          </cell>
          <cell r="EY64">
            <v>0</v>
          </cell>
          <cell r="EZ64">
            <v>135970.49016548606</v>
          </cell>
        </row>
        <row r="65">
          <cell r="C65" t="str">
            <v>Cavendish Close Infant School</v>
          </cell>
          <cell r="D65">
            <v>2449</v>
          </cell>
          <cell r="F65" t="str">
            <v/>
          </cell>
          <cell r="G65">
            <v>0</v>
          </cell>
          <cell r="H65">
            <v>44280</v>
          </cell>
          <cell r="I65">
            <v>0</v>
          </cell>
          <cell r="J65">
            <v>0</v>
          </cell>
          <cell r="L65">
            <v>154821.97537123782</v>
          </cell>
          <cell r="M65">
            <v>44280</v>
          </cell>
          <cell r="N65">
            <v>46.610526315789471</v>
          </cell>
          <cell r="S65">
            <v>0</v>
          </cell>
          <cell r="T65">
            <v>0</v>
          </cell>
          <cell r="U65">
            <v>90</v>
          </cell>
          <cell r="Y65">
            <v>82</v>
          </cell>
          <cell r="Z65">
            <v>88</v>
          </cell>
          <cell r="AA65">
            <v>0</v>
          </cell>
          <cell r="AB65">
            <v>0</v>
          </cell>
          <cell r="AC65">
            <v>0</v>
          </cell>
          <cell r="AD65">
            <v>0</v>
          </cell>
          <cell r="AK65">
            <v>678166.17666812742</v>
          </cell>
          <cell r="AL65">
            <v>260</v>
          </cell>
          <cell r="BS65">
            <v>4642.08</v>
          </cell>
          <cell r="BT65">
            <v>0</v>
          </cell>
          <cell r="BU65">
            <v>348.15600000000001</v>
          </cell>
          <cell r="BV65">
            <v>0</v>
          </cell>
          <cell r="BW65">
            <v>0</v>
          </cell>
          <cell r="BX65">
            <v>-7216.5017999999982</v>
          </cell>
          <cell r="BY65">
            <v>0</v>
          </cell>
          <cell r="BZ65">
            <v>4015.3991999999998</v>
          </cell>
          <cell r="CA65">
            <v>0</v>
          </cell>
          <cell r="CB65">
            <v>0</v>
          </cell>
          <cell r="CC65">
            <v>0</v>
          </cell>
          <cell r="CD65">
            <v>0</v>
          </cell>
          <cell r="CE65">
            <v>1789.1334000000015</v>
          </cell>
          <cell r="CF65">
            <v>34020.916695056439</v>
          </cell>
          <cell r="CI65">
            <v>0</v>
          </cell>
          <cell r="CJ65">
            <v>0</v>
          </cell>
          <cell r="CK65">
            <v>5277.22</v>
          </cell>
          <cell r="CL65">
            <v>2962.5794827973805</v>
          </cell>
          <cell r="CM65">
            <v>42260.716177853821</v>
          </cell>
          <cell r="CQ65">
            <v>7617.3095944609295</v>
          </cell>
          <cell r="CR65">
            <v>2210.69</v>
          </cell>
          <cell r="CS65">
            <v>2020.8526015125899</v>
          </cell>
          <cell r="CT65">
            <v>11848.852195973519</v>
          </cell>
          <cell r="CU65">
            <v>4379.7231785719678</v>
          </cell>
          <cell r="CV65">
            <v>0</v>
          </cell>
          <cell r="CW65">
            <v>4379.7231785719678</v>
          </cell>
          <cell r="CX65">
            <v>0</v>
          </cell>
          <cell r="CZ65">
            <v>0</v>
          </cell>
          <cell r="DC65">
            <v>0</v>
          </cell>
          <cell r="DD65">
            <v>78100.928294232217</v>
          </cell>
          <cell r="DE65">
            <v>41156.03906136132</v>
          </cell>
          <cell r="DF65">
            <v>4280.5871237630872</v>
          </cell>
          <cell r="DG65">
            <v>0</v>
          </cell>
          <cell r="DH65">
            <v>0</v>
          </cell>
          <cell r="DI65">
            <v>123537.55447935664</v>
          </cell>
          <cell r="DJ65">
            <v>0</v>
          </cell>
          <cell r="DK65">
            <v>11106.5</v>
          </cell>
          <cell r="DL65">
            <v>7187.43</v>
          </cell>
          <cell r="DM65">
            <v>70073.495851086889</v>
          </cell>
          <cell r="DN65">
            <v>0</v>
          </cell>
          <cell r="DO65">
            <v>0</v>
          </cell>
          <cell r="DP65">
            <v>0</v>
          </cell>
          <cell r="DQ65">
            <v>88367.425851086882</v>
          </cell>
          <cell r="DR65">
            <v>0</v>
          </cell>
          <cell r="DS65">
            <v>0</v>
          </cell>
          <cell r="DT65">
            <v>0</v>
          </cell>
          <cell r="DU65">
            <v>0</v>
          </cell>
          <cell r="DV65">
            <v>0</v>
          </cell>
          <cell r="DW65">
            <v>0</v>
          </cell>
          <cell r="DX65">
            <v>0</v>
          </cell>
          <cell r="DY65">
            <v>3594.6233866411571</v>
          </cell>
          <cell r="DZ65">
            <v>0</v>
          </cell>
          <cell r="EA65">
            <v>0</v>
          </cell>
          <cell r="EB65">
            <v>3594.6233866411571</v>
          </cell>
          <cell r="EE65">
            <v>0</v>
          </cell>
          <cell r="EH65">
            <v>0</v>
          </cell>
          <cell r="EI65">
            <v>6770.3555000000006</v>
          </cell>
          <cell r="EK65">
            <v>0</v>
          </cell>
          <cell r="EL65">
            <v>0</v>
          </cell>
          <cell r="EM65">
            <v>0</v>
          </cell>
          <cell r="EO65">
            <v>6770.3555000000006</v>
          </cell>
          <cell r="EP65">
            <v>0</v>
          </cell>
          <cell r="EQ65">
            <v>156611.10877123781</v>
          </cell>
          <cell r="ER65">
            <v>1115536.5362088496</v>
          </cell>
          <cell r="ET65">
            <v>306.61052631578946</v>
          </cell>
          <cell r="EU65">
            <v>3638.2851874430348</v>
          </cell>
          <cell r="EV65" t="str">
            <v>No Variation Applied</v>
          </cell>
          <cell r="EW65">
            <v>40800</v>
          </cell>
          <cell r="EX65">
            <v>0</v>
          </cell>
          <cell r="EY65">
            <v>0</v>
          </cell>
          <cell r="EZ65">
            <v>115452.83372507186</v>
          </cell>
        </row>
        <row r="66">
          <cell r="C66" t="str">
            <v>Cherry Tree Hill Primary School</v>
          </cell>
          <cell r="D66">
            <v>2451</v>
          </cell>
          <cell r="F66" t="str">
            <v/>
          </cell>
          <cell r="G66">
            <v>0</v>
          </cell>
          <cell r="H66">
            <v>29442</v>
          </cell>
          <cell r="I66">
            <v>0</v>
          </cell>
          <cell r="J66">
            <v>0</v>
          </cell>
          <cell r="L66">
            <v>102941.92861065907</v>
          </cell>
          <cell r="M66">
            <v>29442</v>
          </cell>
          <cell r="N66">
            <v>30.991578947368421</v>
          </cell>
          <cell r="S66">
            <v>0</v>
          </cell>
          <cell r="T66">
            <v>0</v>
          </cell>
          <cell r="U66">
            <v>65</v>
          </cell>
          <cell r="Y66">
            <v>63</v>
          </cell>
          <cell r="Z66">
            <v>58</v>
          </cell>
          <cell r="AA66">
            <v>61</v>
          </cell>
          <cell r="AB66">
            <v>62</v>
          </cell>
          <cell r="AC66">
            <v>63</v>
          </cell>
          <cell r="AD66">
            <v>66</v>
          </cell>
          <cell r="AK66">
            <v>1132894.9302798971</v>
          </cell>
          <cell r="AL66">
            <v>438</v>
          </cell>
          <cell r="BS66">
            <v>6371.2548000000006</v>
          </cell>
          <cell r="BT66">
            <v>0</v>
          </cell>
          <cell r="BU66">
            <v>0</v>
          </cell>
          <cell r="BV66">
            <v>0</v>
          </cell>
          <cell r="BW66">
            <v>0</v>
          </cell>
          <cell r="BX66">
            <v>1289.6031999999977</v>
          </cell>
          <cell r="BY66">
            <v>0</v>
          </cell>
          <cell r="BZ66">
            <v>5019.2489999999998</v>
          </cell>
          <cell r="CA66">
            <v>0</v>
          </cell>
          <cell r="CB66">
            <v>0</v>
          </cell>
          <cell r="CC66">
            <v>0</v>
          </cell>
          <cell r="CD66">
            <v>0</v>
          </cell>
          <cell r="CE66">
            <v>12680.106999999998</v>
          </cell>
          <cell r="CF66">
            <v>34020.916695056439</v>
          </cell>
          <cell r="CI66">
            <v>0</v>
          </cell>
          <cell r="CJ66">
            <v>0</v>
          </cell>
          <cell r="CK66">
            <v>8890.09</v>
          </cell>
          <cell r="CL66">
            <v>5979.0240471001689</v>
          </cell>
          <cell r="CM66">
            <v>48890.030742156603</v>
          </cell>
          <cell r="CQ66">
            <v>3046.9238377843717</v>
          </cell>
          <cell r="CR66">
            <v>1607.77</v>
          </cell>
          <cell r="CS66">
            <v>2829.1936421176256</v>
          </cell>
          <cell r="CT66">
            <v>7483.8874799019977</v>
          </cell>
          <cell r="CU66">
            <v>3003.2387510207782</v>
          </cell>
          <cell r="CV66">
            <v>0</v>
          </cell>
          <cell r="CW66">
            <v>3003.2387510207782</v>
          </cell>
          <cell r="CX66">
            <v>0</v>
          </cell>
          <cell r="CZ66">
            <v>0</v>
          </cell>
          <cell r="DC66">
            <v>0</v>
          </cell>
          <cell r="DD66">
            <v>85710.459827431565</v>
          </cell>
          <cell r="DE66">
            <v>89815.66535490453</v>
          </cell>
          <cell r="DF66">
            <v>10273.40909703141</v>
          </cell>
          <cell r="DG66">
            <v>0</v>
          </cell>
          <cell r="DH66">
            <v>0</v>
          </cell>
          <cell r="DI66">
            <v>185799.53427936748</v>
          </cell>
          <cell r="DJ66">
            <v>0</v>
          </cell>
          <cell r="DK66">
            <v>22098.5</v>
          </cell>
          <cell r="DL66">
            <v>7362.3</v>
          </cell>
          <cell r="DM66">
            <v>70073.495851086889</v>
          </cell>
          <cell r="DN66">
            <v>0</v>
          </cell>
          <cell r="DO66">
            <v>0</v>
          </cell>
          <cell r="DP66">
            <v>0</v>
          </cell>
          <cell r="DQ66">
            <v>99534.295851086892</v>
          </cell>
          <cell r="DR66">
            <v>0</v>
          </cell>
          <cell r="DS66">
            <v>0</v>
          </cell>
          <cell r="DT66">
            <v>0</v>
          </cell>
          <cell r="DU66">
            <v>0</v>
          </cell>
          <cell r="DV66">
            <v>0</v>
          </cell>
          <cell r="DW66">
            <v>0</v>
          </cell>
          <cell r="DX66">
            <v>0</v>
          </cell>
          <cell r="DY66">
            <v>4248.1912751213677</v>
          </cell>
          <cell r="DZ66">
            <v>1512.6823409033225</v>
          </cell>
          <cell r="EA66">
            <v>0</v>
          </cell>
          <cell r="EB66">
            <v>5760.8736160246899</v>
          </cell>
          <cell r="EE66">
            <v>0</v>
          </cell>
          <cell r="EH66">
            <v>0</v>
          </cell>
          <cell r="EI66">
            <v>0</v>
          </cell>
          <cell r="EK66">
            <v>0</v>
          </cell>
          <cell r="EL66">
            <v>0</v>
          </cell>
          <cell r="EM66">
            <v>0</v>
          </cell>
          <cell r="EO66">
            <v>0</v>
          </cell>
          <cell r="EP66">
            <v>0</v>
          </cell>
          <cell r="EQ66">
            <v>115622.03561065908</v>
          </cell>
          <cell r="ER66">
            <v>1598988.8266101144</v>
          </cell>
          <cell r="ET66">
            <v>468.9915789473684</v>
          </cell>
          <cell r="EU66">
            <v>3409.4190565190461</v>
          </cell>
          <cell r="EV66" t="str">
            <v>No Variation Applied</v>
          </cell>
          <cell r="EW66">
            <v>52800</v>
          </cell>
          <cell r="EX66">
            <v>0</v>
          </cell>
          <cell r="EY66">
            <v>0</v>
          </cell>
          <cell r="EZ66">
            <v>131280.67495362909</v>
          </cell>
        </row>
        <row r="67">
          <cell r="C67" t="str">
            <v>Meadow Farm Community Primary School</v>
          </cell>
          <cell r="D67">
            <v>2452</v>
          </cell>
          <cell r="F67" t="str">
            <v/>
          </cell>
          <cell r="G67">
            <v>0</v>
          </cell>
          <cell r="H67">
            <v>21210</v>
          </cell>
          <cell r="I67">
            <v>0</v>
          </cell>
          <cell r="J67">
            <v>0</v>
          </cell>
          <cell r="L67">
            <v>74159.306631073938</v>
          </cell>
          <cell r="M67">
            <v>21210</v>
          </cell>
          <cell r="N67">
            <v>22.326315789473686</v>
          </cell>
          <cell r="S67">
            <v>0</v>
          </cell>
          <cell r="T67">
            <v>0</v>
          </cell>
          <cell r="U67">
            <v>30</v>
          </cell>
          <cell r="Y67">
            <v>29</v>
          </cell>
          <cell r="Z67">
            <v>28</v>
          </cell>
          <cell r="AA67">
            <v>33</v>
          </cell>
          <cell r="AB67">
            <v>27</v>
          </cell>
          <cell r="AC67">
            <v>25</v>
          </cell>
          <cell r="AD67">
            <v>38</v>
          </cell>
          <cell r="AK67">
            <v>542896.45356527099</v>
          </cell>
          <cell r="AL67">
            <v>210</v>
          </cell>
          <cell r="BS67">
            <v>7659.4319999999998</v>
          </cell>
          <cell r="BT67">
            <v>0</v>
          </cell>
          <cell r="BU67">
            <v>116.05200000000001</v>
          </cell>
          <cell r="BV67">
            <v>0</v>
          </cell>
          <cell r="BW67">
            <v>0</v>
          </cell>
          <cell r="BX67">
            <v>-5679.6097515765869</v>
          </cell>
          <cell r="BY67">
            <v>0</v>
          </cell>
          <cell r="BZ67">
            <v>3011.5493999999999</v>
          </cell>
          <cell r="CA67">
            <v>0</v>
          </cell>
          <cell r="CB67">
            <v>0</v>
          </cell>
          <cell r="CC67">
            <v>0</v>
          </cell>
          <cell r="CD67">
            <v>0</v>
          </cell>
          <cell r="CE67">
            <v>5107.4236484234125</v>
          </cell>
          <cell r="CF67">
            <v>11340.305565018814</v>
          </cell>
          <cell r="CI67">
            <v>0</v>
          </cell>
          <cell r="CJ67">
            <v>0</v>
          </cell>
          <cell r="CK67">
            <v>4262.37</v>
          </cell>
          <cell r="CL67">
            <v>2874.0868488956407</v>
          </cell>
          <cell r="CM67">
            <v>18476.762413914454</v>
          </cell>
          <cell r="CQ67">
            <v>3046.9238377843717</v>
          </cell>
          <cell r="CR67">
            <v>1004.86</v>
          </cell>
          <cell r="CS67">
            <v>1616.6820812100718</v>
          </cell>
          <cell r="CT67">
            <v>5668.4659189944432</v>
          </cell>
          <cell r="CU67">
            <v>6006.4775020415564</v>
          </cell>
          <cell r="CV67">
            <v>0</v>
          </cell>
          <cell r="CW67">
            <v>6006.4775020415564</v>
          </cell>
          <cell r="CX67">
            <v>0</v>
          </cell>
          <cell r="CZ67">
            <v>0</v>
          </cell>
          <cell r="DC67">
            <v>0</v>
          </cell>
          <cell r="DD67">
            <v>84766.641962848706</v>
          </cell>
          <cell r="DE67">
            <v>79583.500947383756</v>
          </cell>
          <cell r="DF67">
            <v>5136.704548515705</v>
          </cell>
          <cell r="DG67">
            <v>0</v>
          </cell>
          <cell r="DH67">
            <v>0</v>
          </cell>
          <cell r="DI67">
            <v>169486.84745874818</v>
          </cell>
          <cell r="DJ67">
            <v>0</v>
          </cell>
          <cell r="DK67">
            <v>14198</v>
          </cell>
          <cell r="DL67">
            <v>3811.25</v>
          </cell>
          <cell r="DM67">
            <v>70073.495851086889</v>
          </cell>
          <cell r="DN67">
            <v>0</v>
          </cell>
          <cell r="DO67">
            <v>0</v>
          </cell>
          <cell r="DP67">
            <v>0</v>
          </cell>
          <cell r="DQ67">
            <v>88082.745851086889</v>
          </cell>
          <cell r="DR67">
            <v>0</v>
          </cell>
          <cell r="DS67">
            <v>0</v>
          </cell>
          <cell r="DT67">
            <v>0</v>
          </cell>
          <cell r="DU67">
            <v>0</v>
          </cell>
          <cell r="DV67">
            <v>0</v>
          </cell>
          <cell r="DW67">
            <v>0</v>
          </cell>
          <cell r="DX67">
            <v>0</v>
          </cell>
          <cell r="DY67">
            <v>1960.7036654406311</v>
          </cell>
          <cell r="DZ67">
            <v>0</v>
          </cell>
          <cell r="EA67">
            <v>0</v>
          </cell>
          <cell r="EB67">
            <v>1960.7036654406311</v>
          </cell>
          <cell r="EE67">
            <v>0</v>
          </cell>
          <cell r="EH67">
            <v>0</v>
          </cell>
          <cell r="EI67">
            <v>0</v>
          </cell>
          <cell r="EK67">
            <v>0</v>
          </cell>
          <cell r="EL67">
            <v>5632</v>
          </cell>
          <cell r="EM67">
            <v>0</v>
          </cell>
          <cell r="EO67">
            <v>5632</v>
          </cell>
          <cell r="EP67">
            <v>0</v>
          </cell>
          <cell r="EQ67">
            <v>79266.730279497351</v>
          </cell>
          <cell r="ER67">
            <v>917477.1866549945</v>
          </cell>
          <cell r="ET67">
            <v>232.32631578947368</v>
          </cell>
          <cell r="EU67">
            <v>3949.0885203309535</v>
          </cell>
          <cell r="EV67" t="str">
            <v>No Variation Applied</v>
          </cell>
          <cell r="EW67">
            <v>43200</v>
          </cell>
          <cell r="EX67">
            <v>0</v>
          </cell>
          <cell r="EY67">
            <v>0</v>
          </cell>
          <cell r="EZ67">
            <v>113858.1342972253</v>
          </cell>
        </row>
        <row r="68">
          <cell r="C68" t="str">
            <v>Chaddesden Park Junior School</v>
          </cell>
          <cell r="D68">
            <v>2453</v>
          </cell>
          <cell r="F68" t="str">
            <v/>
          </cell>
          <cell r="G68">
            <v>0</v>
          </cell>
          <cell r="H68">
            <v>0</v>
          </cell>
          <cell r="I68">
            <v>0</v>
          </cell>
          <cell r="J68">
            <v>0</v>
          </cell>
          <cell r="L68">
            <v>0</v>
          </cell>
          <cell r="M68">
            <v>0</v>
          </cell>
          <cell r="N68">
            <v>0</v>
          </cell>
          <cell r="S68">
            <v>0</v>
          </cell>
          <cell r="T68">
            <v>0</v>
          </cell>
          <cell r="U68">
            <v>0</v>
          </cell>
          <cell r="Y68">
            <v>0</v>
          </cell>
          <cell r="Z68">
            <v>0</v>
          </cell>
          <cell r="AA68">
            <v>38</v>
          </cell>
          <cell r="AB68">
            <v>49</v>
          </cell>
          <cell r="AC68">
            <v>40</v>
          </cell>
          <cell r="AD68">
            <v>55</v>
          </cell>
          <cell r="AK68">
            <v>467613.16944306128</v>
          </cell>
          <cell r="AL68">
            <v>182</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I68">
            <v>0</v>
          </cell>
          <cell r="CJ68">
            <v>0</v>
          </cell>
          <cell r="CK68">
            <v>3694.05</v>
          </cell>
          <cell r="CL68">
            <v>2866.3918372520111</v>
          </cell>
          <cell r="CM68">
            <v>6560.4418372520113</v>
          </cell>
          <cell r="CQ68">
            <v>1523.4619188921858</v>
          </cell>
          <cell r="CR68">
            <v>1607.77</v>
          </cell>
          <cell r="CS68">
            <v>808.34104060503591</v>
          </cell>
          <cell r="CT68">
            <v>3939.5729594972217</v>
          </cell>
          <cell r="CU68">
            <v>9009.7162530623336</v>
          </cell>
          <cell r="CV68">
            <v>0</v>
          </cell>
          <cell r="CW68">
            <v>9009.7162530623336</v>
          </cell>
          <cell r="CX68">
            <v>0</v>
          </cell>
          <cell r="CZ68">
            <v>0</v>
          </cell>
          <cell r="DC68">
            <v>0</v>
          </cell>
          <cell r="DD68">
            <v>44315.198172992408</v>
          </cell>
          <cell r="DE68">
            <v>51160.822037603844</v>
          </cell>
          <cell r="DF68">
            <v>4280.5871237630872</v>
          </cell>
          <cell r="DG68">
            <v>0</v>
          </cell>
          <cell r="DH68">
            <v>0</v>
          </cell>
          <cell r="DI68">
            <v>99756.607334359345</v>
          </cell>
          <cell r="DJ68">
            <v>0</v>
          </cell>
          <cell r="DK68">
            <v>6125.75</v>
          </cell>
          <cell r="DL68">
            <v>6247.81</v>
          </cell>
          <cell r="DM68">
            <v>74722.185859261808</v>
          </cell>
          <cell r="DN68">
            <v>0</v>
          </cell>
          <cell r="DO68">
            <v>0</v>
          </cell>
          <cell r="DP68">
            <v>0</v>
          </cell>
          <cell r="DQ68">
            <v>87095.745859261806</v>
          </cell>
          <cell r="DR68">
            <v>0</v>
          </cell>
          <cell r="DS68">
            <v>0</v>
          </cell>
          <cell r="DT68">
            <v>0</v>
          </cell>
          <cell r="DU68">
            <v>0</v>
          </cell>
          <cell r="DV68">
            <v>0</v>
          </cell>
          <cell r="DW68">
            <v>0</v>
          </cell>
          <cell r="DX68">
            <v>0</v>
          </cell>
          <cell r="DY68">
            <v>2941.0554981609466</v>
          </cell>
          <cell r="DZ68">
            <v>0</v>
          </cell>
          <cell r="EA68">
            <v>0</v>
          </cell>
          <cell r="EB68">
            <v>2941.0554981609466</v>
          </cell>
          <cell r="EE68">
            <v>0</v>
          </cell>
          <cell r="EH68">
            <v>0</v>
          </cell>
          <cell r="EI68">
            <v>0</v>
          </cell>
          <cell r="EK68">
            <v>0</v>
          </cell>
          <cell r="EL68">
            <v>10887</v>
          </cell>
          <cell r="EM68">
            <v>0</v>
          </cell>
          <cell r="EO68">
            <v>10887</v>
          </cell>
          <cell r="EP68">
            <v>0</v>
          </cell>
          <cell r="EQ68">
            <v>0</v>
          </cell>
          <cell r="ER68">
            <v>687803.30918465508</v>
          </cell>
          <cell r="ET68">
            <v>182</v>
          </cell>
          <cell r="EU68">
            <v>3779.1390614541488</v>
          </cell>
          <cell r="EV68" t="str">
            <v>No Variation Applied</v>
          </cell>
          <cell r="EW68">
            <v>36000</v>
          </cell>
          <cell r="EX68">
            <v>0</v>
          </cell>
          <cell r="EY68">
            <v>0</v>
          </cell>
          <cell r="EZ68">
            <v>71311.580830052713</v>
          </cell>
        </row>
        <row r="69">
          <cell r="C69" t="str">
            <v>Chellaston Infant School</v>
          </cell>
          <cell r="D69">
            <v>2455</v>
          </cell>
          <cell r="F69" t="str">
            <v/>
          </cell>
          <cell r="G69">
            <v>0</v>
          </cell>
          <cell r="H69">
            <v>0</v>
          </cell>
          <cell r="I69">
            <v>0</v>
          </cell>
          <cell r="J69">
            <v>0</v>
          </cell>
          <cell r="L69">
            <v>0</v>
          </cell>
          <cell r="M69">
            <v>0</v>
          </cell>
          <cell r="N69">
            <v>0</v>
          </cell>
          <cell r="S69">
            <v>0</v>
          </cell>
          <cell r="T69">
            <v>0</v>
          </cell>
          <cell r="U69">
            <v>120</v>
          </cell>
          <cell r="Y69">
            <v>120</v>
          </cell>
          <cell r="Z69">
            <v>120</v>
          </cell>
          <cell r="AA69">
            <v>0</v>
          </cell>
          <cell r="AB69">
            <v>0</v>
          </cell>
          <cell r="AC69">
            <v>0</v>
          </cell>
          <cell r="AD69">
            <v>0</v>
          </cell>
          <cell r="AK69">
            <v>936892.62885780726</v>
          </cell>
          <cell r="AL69">
            <v>360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45361.222260075258</v>
          </cell>
          <cell r="CI69">
            <v>0</v>
          </cell>
          <cell r="CJ69">
            <v>0</v>
          </cell>
          <cell r="CK69">
            <v>7306.92</v>
          </cell>
          <cell r="CL69">
            <v>4882.4848878829562</v>
          </cell>
          <cell r="CM69">
            <v>57550.627147958214</v>
          </cell>
          <cell r="CQ69">
            <v>5332.1167161226504</v>
          </cell>
          <cell r="CR69">
            <v>3818.46</v>
          </cell>
          <cell r="CS69">
            <v>6062.5578045377697</v>
          </cell>
          <cell r="CT69">
            <v>15213.13452066042</v>
          </cell>
          <cell r="CU69">
            <v>11011.875420409518</v>
          </cell>
          <cell r="CV69">
            <v>0</v>
          </cell>
          <cell r="CW69">
            <v>11011.875420409518</v>
          </cell>
          <cell r="CX69">
            <v>0</v>
          </cell>
          <cell r="CZ69">
            <v>0</v>
          </cell>
          <cell r="DC69">
            <v>0</v>
          </cell>
          <cell r="DD69">
            <v>59666.9856265981</v>
          </cell>
          <cell r="DE69">
            <v>24102.431715493367</v>
          </cell>
          <cell r="DF69">
            <v>7705.0568227735575</v>
          </cell>
          <cell r="DG69">
            <v>0</v>
          </cell>
          <cell r="DH69">
            <v>0</v>
          </cell>
          <cell r="DI69">
            <v>91474.474164865038</v>
          </cell>
          <cell r="DJ69">
            <v>0</v>
          </cell>
          <cell r="DK69">
            <v>23816</v>
          </cell>
          <cell r="DL69">
            <v>4365.59</v>
          </cell>
          <cell r="DM69">
            <v>70073.495851086889</v>
          </cell>
          <cell r="DN69">
            <v>0</v>
          </cell>
          <cell r="DO69">
            <v>0</v>
          </cell>
          <cell r="DP69">
            <v>0</v>
          </cell>
          <cell r="DQ69">
            <v>98255.085851086886</v>
          </cell>
          <cell r="DR69">
            <v>0</v>
          </cell>
          <cell r="DS69">
            <v>0</v>
          </cell>
          <cell r="DT69">
            <v>0</v>
          </cell>
          <cell r="DU69">
            <v>0</v>
          </cell>
          <cell r="DV69">
            <v>0</v>
          </cell>
          <cell r="DW69">
            <v>0</v>
          </cell>
          <cell r="DX69">
            <v>0</v>
          </cell>
          <cell r="DY69">
            <v>4574.9752193614731</v>
          </cell>
          <cell r="DZ69">
            <v>0</v>
          </cell>
          <cell r="EA69">
            <v>0</v>
          </cell>
          <cell r="EB69">
            <v>4574.9752193614731</v>
          </cell>
          <cell r="EE69">
            <v>0</v>
          </cell>
          <cell r="EH69">
            <v>0</v>
          </cell>
          <cell r="EI69">
            <v>0</v>
          </cell>
          <cell r="EK69">
            <v>0</v>
          </cell>
          <cell r="EL69">
            <v>7384</v>
          </cell>
          <cell r="EM69">
            <v>0</v>
          </cell>
          <cell r="EO69">
            <v>7384</v>
          </cell>
          <cell r="EP69">
            <v>0</v>
          </cell>
          <cell r="EQ69">
            <v>0</v>
          </cell>
          <cell r="ER69">
            <v>1222356.801182149</v>
          </cell>
          <cell r="ET69">
            <v>360</v>
          </cell>
          <cell r="EU69">
            <v>3395.4355588393028</v>
          </cell>
          <cell r="EV69" t="str">
            <v>No Variation Applied</v>
          </cell>
          <cell r="EW69">
            <v>28200</v>
          </cell>
          <cell r="EX69">
            <v>0</v>
          </cell>
          <cell r="EY69">
            <v>0</v>
          </cell>
          <cell r="EZ69">
            <v>107209.27788628415</v>
          </cell>
        </row>
        <row r="70">
          <cell r="C70" t="str">
            <v>Carlyle Infant School</v>
          </cell>
          <cell r="D70">
            <v>2456</v>
          </cell>
          <cell r="F70" t="str">
            <v/>
          </cell>
          <cell r="G70">
            <v>0</v>
          </cell>
          <cell r="H70">
            <v>28020</v>
          </cell>
          <cell r="I70">
            <v>0</v>
          </cell>
          <cell r="J70">
            <v>0</v>
          </cell>
          <cell r="L70">
            <v>97970.003385322576</v>
          </cell>
          <cell r="M70">
            <v>28020</v>
          </cell>
          <cell r="N70">
            <v>29.494736842105262</v>
          </cell>
          <cell r="S70">
            <v>0</v>
          </cell>
          <cell r="T70">
            <v>0</v>
          </cell>
          <cell r="U70">
            <v>60</v>
          </cell>
          <cell r="Y70">
            <v>60</v>
          </cell>
          <cell r="Z70">
            <v>59</v>
          </cell>
          <cell r="AA70">
            <v>0</v>
          </cell>
          <cell r="AB70">
            <v>0</v>
          </cell>
          <cell r="AC70">
            <v>0</v>
          </cell>
          <cell r="AD70">
            <v>0</v>
          </cell>
          <cell r="AK70">
            <v>465995.98493138084</v>
          </cell>
          <cell r="AL70">
            <v>179</v>
          </cell>
          <cell r="BS70">
            <v>1624.7280000000001</v>
          </cell>
          <cell r="BT70">
            <v>0</v>
          </cell>
          <cell r="BU70">
            <v>1856.8320000000001</v>
          </cell>
          <cell r="BV70">
            <v>0</v>
          </cell>
          <cell r="BW70">
            <v>0</v>
          </cell>
          <cell r="BX70">
            <v>-2196.2480000000069</v>
          </cell>
          <cell r="BY70">
            <v>0</v>
          </cell>
          <cell r="BZ70">
            <v>0</v>
          </cell>
          <cell r="CA70">
            <v>0</v>
          </cell>
          <cell r="CB70">
            <v>0</v>
          </cell>
          <cell r="CC70">
            <v>0</v>
          </cell>
          <cell r="CD70">
            <v>0</v>
          </cell>
          <cell r="CE70">
            <v>1285.3119999999935</v>
          </cell>
          <cell r="CF70">
            <v>22680.611130037629</v>
          </cell>
          <cell r="CI70">
            <v>0</v>
          </cell>
          <cell r="CJ70">
            <v>0</v>
          </cell>
          <cell r="CK70">
            <v>3633.16</v>
          </cell>
          <cell r="CL70">
            <v>3016.444564302788</v>
          </cell>
          <cell r="CM70">
            <v>29330.215694340415</v>
          </cell>
          <cell r="CQ70">
            <v>3808.6547972304647</v>
          </cell>
          <cell r="CR70">
            <v>8641.77</v>
          </cell>
          <cell r="CS70">
            <v>10104.263007562949</v>
          </cell>
          <cell r="CT70">
            <v>22554.687804793415</v>
          </cell>
          <cell r="CU70">
            <v>2502.698959183982</v>
          </cell>
          <cell r="CV70">
            <v>0</v>
          </cell>
          <cell r="CW70">
            <v>2502.698959183982</v>
          </cell>
          <cell r="CX70">
            <v>0</v>
          </cell>
          <cell r="CZ70">
            <v>0</v>
          </cell>
          <cell r="DC70">
            <v>0</v>
          </cell>
          <cell r="DD70">
            <v>19289.277607412336</v>
          </cell>
          <cell r="DE70">
            <v>13870.267307972599</v>
          </cell>
          <cell r="DF70">
            <v>856.11742475261747</v>
          </cell>
          <cell r="DG70">
            <v>0</v>
          </cell>
          <cell r="DH70">
            <v>0</v>
          </cell>
          <cell r="DI70">
            <v>34015.662340137547</v>
          </cell>
          <cell r="DJ70">
            <v>0</v>
          </cell>
          <cell r="DK70">
            <v>8587.5</v>
          </cell>
          <cell r="DL70">
            <v>2870.98</v>
          </cell>
          <cell r="DM70">
            <v>70073.495851086889</v>
          </cell>
          <cell r="DN70">
            <v>0</v>
          </cell>
          <cell r="DO70">
            <v>0</v>
          </cell>
          <cell r="DP70">
            <v>0</v>
          </cell>
          <cell r="DQ70">
            <v>81531.975851086885</v>
          </cell>
          <cell r="DR70">
            <v>0</v>
          </cell>
          <cell r="DS70">
            <v>0</v>
          </cell>
          <cell r="DT70">
            <v>0</v>
          </cell>
          <cell r="DU70">
            <v>0</v>
          </cell>
          <cell r="DV70">
            <v>0</v>
          </cell>
          <cell r="DW70">
            <v>0</v>
          </cell>
          <cell r="DX70">
            <v>0</v>
          </cell>
          <cell r="DY70">
            <v>4574.9752193614731</v>
          </cell>
          <cell r="DZ70">
            <v>0</v>
          </cell>
          <cell r="EA70">
            <v>0</v>
          </cell>
          <cell r="EB70">
            <v>4574.9752193614731</v>
          </cell>
          <cell r="EE70">
            <v>0</v>
          </cell>
          <cell r="EH70">
            <v>0</v>
          </cell>
          <cell r="EI70">
            <v>0</v>
          </cell>
          <cell r="EK70">
            <v>0</v>
          </cell>
          <cell r="EL70">
            <v>6257</v>
          </cell>
          <cell r="EM70">
            <v>0</v>
          </cell>
          <cell r="EO70">
            <v>6257</v>
          </cell>
          <cell r="EP70">
            <v>0</v>
          </cell>
          <cell r="EQ70">
            <v>99255.315385322567</v>
          </cell>
          <cell r="ER70">
            <v>746018.51618560706</v>
          </cell>
          <cell r="ET70">
            <v>208.49473684210525</v>
          </cell>
          <cell r="EU70">
            <v>3578.1167787970248</v>
          </cell>
          <cell r="EV70" t="str">
            <v>No Variation Applied</v>
          </cell>
          <cell r="EW70">
            <v>9000</v>
          </cell>
          <cell r="EX70">
            <v>0</v>
          </cell>
          <cell r="EY70">
            <v>0</v>
          </cell>
          <cell r="EZ70">
            <v>49038.286137114141</v>
          </cell>
        </row>
        <row r="71">
          <cell r="C71" t="str">
            <v>Gayton Community Junior School</v>
          </cell>
          <cell r="D71">
            <v>2457</v>
          </cell>
          <cell r="F71" t="str">
            <v/>
          </cell>
          <cell r="G71">
            <v>0</v>
          </cell>
          <cell r="H71">
            <v>0</v>
          </cell>
          <cell r="I71">
            <v>0</v>
          </cell>
          <cell r="J71">
            <v>0</v>
          </cell>
          <cell r="L71">
            <v>0</v>
          </cell>
          <cell r="M71">
            <v>0</v>
          </cell>
          <cell r="N71">
            <v>0</v>
          </cell>
          <cell r="S71">
            <v>0</v>
          </cell>
          <cell r="T71">
            <v>0</v>
          </cell>
          <cell r="U71">
            <v>0</v>
          </cell>
          <cell r="Y71">
            <v>0</v>
          </cell>
          <cell r="Z71">
            <v>0</v>
          </cell>
          <cell r="AA71">
            <v>82</v>
          </cell>
          <cell r="AB71">
            <v>92</v>
          </cell>
          <cell r="AC71">
            <v>85</v>
          </cell>
          <cell r="AD71">
            <v>84</v>
          </cell>
          <cell r="AK71">
            <v>881270.97318115388</v>
          </cell>
          <cell r="AL71">
            <v>343</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I71">
            <v>0</v>
          </cell>
          <cell r="CJ71">
            <v>0</v>
          </cell>
          <cell r="CK71">
            <v>6961.87</v>
          </cell>
          <cell r="CL71">
            <v>2866.3918372520111</v>
          </cell>
          <cell r="CM71">
            <v>9828.2618372520119</v>
          </cell>
          <cell r="CQ71">
            <v>3808.6547972304647</v>
          </cell>
          <cell r="CR71">
            <v>17886.46</v>
          </cell>
          <cell r="CS71">
            <v>17581.41763315953</v>
          </cell>
          <cell r="CT71">
            <v>39276.532430389998</v>
          </cell>
          <cell r="CU71">
            <v>7257.8269816335478</v>
          </cell>
          <cell r="CV71">
            <v>0</v>
          </cell>
          <cell r="CW71">
            <v>7257.8269816335478</v>
          </cell>
          <cell r="CX71">
            <v>0</v>
          </cell>
          <cell r="CZ71">
            <v>0</v>
          </cell>
          <cell r="DC71">
            <v>0</v>
          </cell>
          <cell r="DD71">
            <v>64843.236727669755</v>
          </cell>
          <cell r="DE71">
            <v>53889.399212942721</v>
          </cell>
          <cell r="DF71">
            <v>3424.4696990104699</v>
          </cell>
          <cell r="DG71">
            <v>0</v>
          </cell>
          <cell r="DH71">
            <v>0</v>
          </cell>
          <cell r="DI71">
            <v>122157.10563962294</v>
          </cell>
          <cell r="DJ71">
            <v>0</v>
          </cell>
          <cell r="DK71">
            <v>19055</v>
          </cell>
          <cell r="DL71">
            <v>5208.22</v>
          </cell>
          <cell r="DM71">
            <v>70073.495851086889</v>
          </cell>
          <cell r="DN71">
            <v>0</v>
          </cell>
          <cell r="DO71">
            <v>0</v>
          </cell>
          <cell r="DP71">
            <v>0</v>
          </cell>
          <cell r="DQ71">
            <v>94336.71585108689</v>
          </cell>
          <cell r="DR71">
            <v>0</v>
          </cell>
          <cell r="DS71">
            <v>0</v>
          </cell>
          <cell r="DT71">
            <v>0</v>
          </cell>
          <cell r="DU71">
            <v>0</v>
          </cell>
          <cell r="DV71">
            <v>0</v>
          </cell>
          <cell r="DW71">
            <v>0</v>
          </cell>
          <cell r="DX71">
            <v>0</v>
          </cell>
          <cell r="DY71">
            <v>4248.1912751213677</v>
          </cell>
          <cell r="DZ71">
            <v>0</v>
          </cell>
          <cell r="EA71">
            <v>0</v>
          </cell>
          <cell r="EB71">
            <v>4248.1912751213677</v>
          </cell>
          <cell r="EE71">
            <v>0</v>
          </cell>
          <cell r="EH71">
            <v>0</v>
          </cell>
          <cell r="EI71">
            <v>0</v>
          </cell>
          <cell r="EK71">
            <v>0</v>
          </cell>
          <cell r="EL71">
            <v>3504</v>
          </cell>
          <cell r="EM71">
            <v>0</v>
          </cell>
          <cell r="EO71">
            <v>3504</v>
          </cell>
          <cell r="EP71">
            <v>0</v>
          </cell>
          <cell r="EQ71">
            <v>0</v>
          </cell>
          <cell r="ER71">
            <v>1161879.6071962607</v>
          </cell>
          <cell r="ET71">
            <v>343</v>
          </cell>
          <cell r="EU71">
            <v>3387.4041026130049</v>
          </cell>
          <cell r="EV71" t="str">
            <v>No Variation Applied</v>
          </cell>
          <cell r="EW71">
            <v>50400</v>
          </cell>
          <cell r="EX71">
            <v>0</v>
          </cell>
          <cell r="EY71">
            <v>0</v>
          </cell>
          <cell r="EZ71">
            <v>115855.60106896967</v>
          </cell>
        </row>
        <row r="72">
          <cell r="C72" t="str">
            <v>Ridgeway Infant School</v>
          </cell>
          <cell r="D72">
            <v>2458</v>
          </cell>
          <cell r="F72" t="str">
            <v/>
          </cell>
          <cell r="G72">
            <v>0</v>
          </cell>
          <cell r="H72">
            <v>0</v>
          </cell>
          <cell r="I72">
            <v>0</v>
          </cell>
          <cell r="J72">
            <v>0</v>
          </cell>
          <cell r="L72">
            <v>0</v>
          </cell>
          <cell r="M72">
            <v>0</v>
          </cell>
          <cell r="N72">
            <v>0</v>
          </cell>
          <cell r="S72">
            <v>0</v>
          </cell>
          <cell r="T72">
            <v>0</v>
          </cell>
          <cell r="U72">
            <v>90</v>
          </cell>
          <cell r="Y72">
            <v>90</v>
          </cell>
          <cell r="Z72">
            <v>90</v>
          </cell>
          <cell r="AA72">
            <v>0</v>
          </cell>
          <cell r="AB72">
            <v>0</v>
          </cell>
          <cell r="AC72">
            <v>0</v>
          </cell>
          <cell r="AD72">
            <v>0</v>
          </cell>
          <cell r="AK72">
            <v>702669.47164335544</v>
          </cell>
          <cell r="AL72">
            <v>270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34020.916695056439</v>
          </cell>
          <cell r="CI72">
            <v>0</v>
          </cell>
          <cell r="CJ72">
            <v>0</v>
          </cell>
          <cell r="CK72">
            <v>5480.19</v>
          </cell>
          <cell r="CL72">
            <v>3021.2539465800564</v>
          </cell>
          <cell r="CM72">
            <v>42522.3606416365</v>
          </cell>
          <cell r="CQ72">
            <v>3046.9238377843717</v>
          </cell>
          <cell r="CR72">
            <v>11857.31</v>
          </cell>
          <cell r="CS72">
            <v>15358.479771495682</v>
          </cell>
          <cell r="CT72">
            <v>30262.713609280054</v>
          </cell>
          <cell r="CU72">
            <v>8133.7716173479403</v>
          </cell>
          <cell r="CV72">
            <v>0</v>
          </cell>
          <cell r="CW72">
            <v>8133.7716173479403</v>
          </cell>
          <cell r="CX72">
            <v>0</v>
          </cell>
          <cell r="CZ72">
            <v>0</v>
          </cell>
          <cell r="DC72">
            <v>0</v>
          </cell>
          <cell r="DD72">
            <v>46394.546905901538</v>
          </cell>
          <cell r="DE72">
            <v>58664.409269785741</v>
          </cell>
          <cell r="DF72">
            <v>5992.8219732683219</v>
          </cell>
          <cell r="DG72">
            <v>0</v>
          </cell>
          <cell r="DH72">
            <v>0</v>
          </cell>
          <cell r="DI72">
            <v>111051.77814895561</v>
          </cell>
          <cell r="DJ72">
            <v>0</v>
          </cell>
          <cell r="DK72">
            <v>3044</v>
          </cell>
          <cell r="DL72">
            <v>3467.23</v>
          </cell>
          <cell r="DM72">
            <v>70073.495851086889</v>
          </cell>
          <cell r="DN72">
            <v>0</v>
          </cell>
          <cell r="DO72">
            <v>0</v>
          </cell>
          <cell r="DP72">
            <v>0</v>
          </cell>
          <cell r="DQ72">
            <v>76584.725851086885</v>
          </cell>
          <cell r="DR72">
            <v>0</v>
          </cell>
          <cell r="DS72">
            <v>0</v>
          </cell>
          <cell r="DT72">
            <v>0</v>
          </cell>
          <cell r="DU72">
            <v>0</v>
          </cell>
          <cell r="DV72">
            <v>0</v>
          </cell>
          <cell r="DW72">
            <v>0</v>
          </cell>
          <cell r="DX72">
            <v>0</v>
          </cell>
          <cell r="DY72">
            <v>2614.2715539208416</v>
          </cell>
          <cell r="DZ72">
            <v>0</v>
          </cell>
          <cell r="EA72">
            <v>0</v>
          </cell>
          <cell r="EB72">
            <v>2614.2715539208416</v>
          </cell>
          <cell r="EE72">
            <v>0</v>
          </cell>
          <cell r="EH72">
            <v>0</v>
          </cell>
          <cell r="EI72">
            <v>0</v>
          </cell>
          <cell r="EK72">
            <v>0</v>
          </cell>
          <cell r="EL72">
            <v>10385</v>
          </cell>
          <cell r="EM72">
            <v>0</v>
          </cell>
          <cell r="EO72">
            <v>10385</v>
          </cell>
          <cell r="EP72">
            <v>0</v>
          </cell>
          <cell r="EQ72">
            <v>0</v>
          </cell>
          <cell r="ER72">
            <v>984224.09306558338</v>
          </cell>
          <cell r="ET72">
            <v>270</v>
          </cell>
          <cell r="EU72">
            <v>3645.2744187614198</v>
          </cell>
          <cell r="EV72" t="str">
            <v>No Variation Applied</v>
          </cell>
          <cell r="EW72">
            <v>24250</v>
          </cell>
          <cell r="EX72">
            <v>0</v>
          </cell>
          <cell r="EY72">
            <v>0</v>
          </cell>
          <cell r="EZ72">
            <v>89364.501948987163</v>
          </cell>
        </row>
        <row r="73">
          <cell r="C73" t="str">
            <v>Wren Park Primary School</v>
          </cell>
          <cell r="D73">
            <v>2459</v>
          </cell>
          <cell r="F73" t="str">
            <v/>
          </cell>
          <cell r="G73">
            <v>0</v>
          </cell>
          <cell r="H73">
            <v>0</v>
          </cell>
          <cell r="I73">
            <v>0</v>
          </cell>
          <cell r="J73">
            <v>0</v>
          </cell>
          <cell r="L73">
            <v>0</v>
          </cell>
          <cell r="M73">
            <v>0</v>
          </cell>
          <cell r="N73">
            <v>0</v>
          </cell>
          <cell r="S73">
            <v>0</v>
          </cell>
          <cell r="T73">
            <v>0</v>
          </cell>
          <cell r="U73">
            <v>55</v>
          </cell>
          <cell r="Y73">
            <v>54</v>
          </cell>
          <cell r="Z73">
            <v>54</v>
          </cell>
          <cell r="AA73">
            <v>53</v>
          </cell>
          <cell r="AB73">
            <v>51</v>
          </cell>
          <cell r="AC73">
            <v>61</v>
          </cell>
          <cell r="AD73">
            <v>56</v>
          </cell>
          <cell r="AK73">
            <v>992324.45403135708</v>
          </cell>
          <cell r="AL73">
            <v>384</v>
          </cell>
          <cell r="BS73">
            <v>0</v>
          </cell>
          <cell r="BT73">
            <v>0</v>
          </cell>
          <cell r="BU73">
            <v>0</v>
          </cell>
          <cell r="BV73">
            <v>0</v>
          </cell>
          <cell r="BW73">
            <v>0</v>
          </cell>
          <cell r="BX73">
            <v>0</v>
          </cell>
          <cell r="BY73">
            <v>0</v>
          </cell>
          <cell r="BZ73">
            <v>0</v>
          </cell>
          <cell r="CA73">
            <v>0</v>
          </cell>
          <cell r="CB73">
            <v>0</v>
          </cell>
          <cell r="CC73">
            <v>0</v>
          </cell>
          <cell r="CD73">
            <v>0</v>
          </cell>
          <cell r="CE73">
            <v>0</v>
          </cell>
          <cell r="CF73">
            <v>22680.611130037629</v>
          </cell>
          <cell r="CI73">
            <v>0</v>
          </cell>
          <cell r="CJ73">
            <v>0</v>
          </cell>
          <cell r="CK73">
            <v>7794.05</v>
          </cell>
          <cell r="CL73">
            <v>5663.5285697113559</v>
          </cell>
          <cell r="CM73">
            <v>36138.189699748982</v>
          </cell>
          <cell r="CQ73">
            <v>3046.9238377843717</v>
          </cell>
          <cell r="CR73">
            <v>4019.43</v>
          </cell>
          <cell r="CS73">
            <v>12529.286129378057</v>
          </cell>
          <cell r="CT73">
            <v>19595.639967162428</v>
          </cell>
          <cell r="CU73">
            <v>16017.273338777484</v>
          </cell>
          <cell r="CV73">
            <v>0</v>
          </cell>
          <cell r="CW73">
            <v>16017.273338777484</v>
          </cell>
          <cell r="CX73">
            <v>0</v>
          </cell>
          <cell r="CZ73">
            <v>0</v>
          </cell>
          <cell r="DC73">
            <v>0</v>
          </cell>
          <cell r="DD73">
            <v>38106.646282533242</v>
          </cell>
          <cell r="DE73">
            <v>7276.2058009036582</v>
          </cell>
          <cell r="DF73">
            <v>1712.2348495052349</v>
          </cell>
          <cell r="DG73">
            <v>0</v>
          </cell>
          <cell r="DH73">
            <v>0</v>
          </cell>
          <cell r="DI73">
            <v>47095.086932942133</v>
          </cell>
          <cell r="DJ73">
            <v>0</v>
          </cell>
          <cell r="DK73">
            <v>14427</v>
          </cell>
          <cell r="DL73">
            <v>4560.26</v>
          </cell>
          <cell r="DM73">
            <v>70073.495851086889</v>
          </cell>
          <cell r="DN73">
            <v>0</v>
          </cell>
          <cell r="DO73">
            <v>0</v>
          </cell>
          <cell r="DP73">
            <v>0</v>
          </cell>
          <cell r="DQ73">
            <v>89060.755851086898</v>
          </cell>
          <cell r="DR73">
            <v>0</v>
          </cell>
          <cell r="DS73">
            <v>0</v>
          </cell>
          <cell r="DT73">
            <v>0</v>
          </cell>
          <cell r="DU73">
            <v>0</v>
          </cell>
          <cell r="DV73">
            <v>0</v>
          </cell>
          <cell r="DW73">
            <v>0</v>
          </cell>
          <cell r="DX73">
            <v>0</v>
          </cell>
          <cell r="DY73">
            <v>2614.2715539208416</v>
          </cell>
          <cell r="DZ73">
            <v>0</v>
          </cell>
          <cell r="EA73">
            <v>0</v>
          </cell>
          <cell r="EB73">
            <v>2614.2715539208416</v>
          </cell>
          <cell r="EE73">
            <v>0</v>
          </cell>
          <cell r="EH73">
            <v>0</v>
          </cell>
          <cell r="EI73">
            <v>0</v>
          </cell>
          <cell r="EK73">
            <v>0</v>
          </cell>
          <cell r="EL73">
            <v>12139</v>
          </cell>
          <cell r="EM73">
            <v>0</v>
          </cell>
          <cell r="EO73">
            <v>12139</v>
          </cell>
          <cell r="EP73">
            <v>0</v>
          </cell>
          <cell r="EQ73">
            <v>0</v>
          </cell>
          <cell r="ER73">
            <v>1214984.6713749957</v>
          </cell>
          <cell r="ET73">
            <v>384</v>
          </cell>
          <cell r="EU73">
            <v>3164.022581705718</v>
          </cell>
          <cell r="EV73" t="str">
            <v>No Variation Applied</v>
          </cell>
          <cell r="EW73">
            <v>17400</v>
          </cell>
          <cell r="EX73">
            <v>0</v>
          </cell>
          <cell r="EY73">
            <v>0</v>
          </cell>
          <cell r="EZ73">
            <v>81623.241815607951</v>
          </cell>
        </row>
        <row r="74">
          <cell r="C74" t="str">
            <v>Ravensdale Infant and Nursery School</v>
          </cell>
          <cell r="D74">
            <v>2462</v>
          </cell>
          <cell r="F74" t="str">
            <v/>
          </cell>
          <cell r="G74">
            <v>0</v>
          </cell>
          <cell r="H74">
            <v>28692</v>
          </cell>
          <cell r="I74">
            <v>0</v>
          </cell>
          <cell r="J74">
            <v>0</v>
          </cell>
          <cell r="L74">
            <v>100319.60517957443</v>
          </cell>
          <cell r="M74">
            <v>28692</v>
          </cell>
          <cell r="N74">
            <v>30.202105263157893</v>
          </cell>
          <cell r="S74">
            <v>0</v>
          </cell>
          <cell r="T74">
            <v>0</v>
          </cell>
          <cell r="U74">
            <v>75</v>
          </cell>
          <cell r="Y74">
            <v>72</v>
          </cell>
          <cell r="Z74">
            <v>74</v>
          </cell>
          <cell r="AA74">
            <v>0</v>
          </cell>
          <cell r="AB74">
            <v>0</v>
          </cell>
          <cell r="AC74">
            <v>0</v>
          </cell>
          <cell r="AD74">
            <v>0</v>
          </cell>
          <cell r="AK74">
            <v>575756.57504603826</v>
          </cell>
          <cell r="AL74">
            <v>221</v>
          </cell>
          <cell r="BS74">
            <v>719.52239999999995</v>
          </cell>
          <cell r="BT74">
            <v>0</v>
          </cell>
          <cell r="BU74">
            <v>348.15600000000001</v>
          </cell>
          <cell r="BV74">
            <v>0</v>
          </cell>
          <cell r="BW74">
            <v>0</v>
          </cell>
          <cell r="BX74">
            <v>-2105.2171999999991</v>
          </cell>
          <cell r="BY74">
            <v>0</v>
          </cell>
          <cell r="BZ74">
            <v>0</v>
          </cell>
          <cell r="CA74">
            <v>0</v>
          </cell>
          <cell r="CB74">
            <v>0</v>
          </cell>
          <cell r="CC74">
            <v>0</v>
          </cell>
          <cell r="CD74">
            <v>0</v>
          </cell>
          <cell r="CE74">
            <v>-1037.5387999999991</v>
          </cell>
          <cell r="CF74">
            <v>34020.916695056439</v>
          </cell>
          <cell r="CI74">
            <v>0</v>
          </cell>
          <cell r="CJ74">
            <v>0</v>
          </cell>
          <cell r="CK74">
            <v>4485.6400000000003</v>
          </cell>
          <cell r="CL74">
            <v>3562.7903910004861</v>
          </cell>
          <cell r="CM74">
            <v>42069.347086056921</v>
          </cell>
          <cell r="CQ74">
            <v>6855.5786350148364</v>
          </cell>
          <cell r="CR74">
            <v>3416.51</v>
          </cell>
          <cell r="CS74">
            <v>9093.8367068066545</v>
          </cell>
          <cell r="CT74">
            <v>19365.92534182149</v>
          </cell>
          <cell r="CU74">
            <v>9134.8512010215345</v>
          </cell>
          <cell r="CV74">
            <v>0</v>
          </cell>
          <cell r="CW74">
            <v>9134.8512010215345</v>
          </cell>
          <cell r="CX74">
            <v>0</v>
          </cell>
          <cell r="CZ74">
            <v>0</v>
          </cell>
          <cell r="DC74">
            <v>0</v>
          </cell>
          <cell r="DD74">
            <v>41616.468966450775</v>
          </cell>
          <cell r="DE74">
            <v>27513.153184666957</v>
          </cell>
          <cell r="DF74">
            <v>4280.5871237630872</v>
          </cell>
          <cell r="DG74">
            <v>0</v>
          </cell>
          <cell r="DH74">
            <v>0</v>
          </cell>
          <cell r="DI74">
            <v>73410.209274880821</v>
          </cell>
          <cell r="DJ74">
            <v>0</v>
          </cell>
          <cell r="DK74">
            <v>12824</v>
          </cell>
          <cell r="DL74">
            <v>5405.17</v>
          </cell>
          <cell r="DM74">
            <v>70073.495851086889</v>
          </cell>
          <cell r="DN74">
            <v>0</v>
          </cell>
          <cell r="DO74">
            <v>0</v>
          </cell>
          <cell r="DP74">
            <v>0</v>
          </cell>
          <cell r="DQ74">
            <v>88302.665851086887</v>
          </cell>
          <cell r="DR74">
            <v>0</v>
          </cell>
          <cell r="DS74">
            <v>0</v>
          </cell>
          <cell r="DT74">
            <v>0</v>
          </cell>
          <cell r="DU74">
            <v>0</v>
          </cell>
          <cell r="DV74">
            <v>0</v>
          </cell>
          <cell r="DW74">
            <v>0</v>
          </cell>
          <cell r="DX74">
            <v>0</v>
          </cell>
          <cell r="DY74">
            <v>4901.7591636015777</v>
          </cell>
          <cell r="DZ74">
            <v>0</v>
          </cell>
          <cell r="EA74">
            <v>0</v>
          </cell>
          <cell r="EB74">
            <v>4901.7591636015777</v>
          </cell>
          <cell r="EE74">
            <v>0</v>
          </cell>
          <cell r="EH74">
            <v>0</v>
          </cell>
          <cell r="EI74">
            <v>0</v>
          </cell>
          <cell r="EK74">
            <v>0</v>
          </cell>
          <cell r="EL74">
            <v>-2127</v>
          </cell>
          <cell r="EM74">
            <v>0</v>
          </cell>
          <cell r="EO74">
            <v>-2127</v>
          </cell>
          <cell r="EP74">
            <v>0</v>
          </cell>
          <cell r="EQ74">
            <v>99282.066379574433</v>
          </cell>
          <cell r="ER74">
            <v>910096.39934408199</v>
          </cell>
          <cell r="ET74">
            <v>251.2021052631579</v>
          </cell>
          <cell r="EU74">
            <v>3622.964856885535</v>
          </cell>
          <cell r="EV74" t="str">
            <v>No Variation Applied</v>
          </cell>
          <cell r="EW74">
            <v>18600</v>
          </cell>
          <cell r="EX74">
            <v>0</v>
          </cell>
          <cell r="EY74">
            <v>0</v>
          </cell>
          <cell r="EZ74">
            <v>79823.515495143933</v>
          </cell>
        </row>
        <row r="75">
          <cell r="C75" t="str">
            <v>Ravensdale Junior School</v>
          </cell>
          <cell r="D75">
            <v>2463</v>
          </cell>
          <cell r="F75" t="str">
            <v/>
          </cell>
          <cell r="G75">
            <v>0</v>
          </cell>
          <cell r="H75">
            <v>0</v>
          </cell>
          <cell r="I75">
            <v>0</v>
          </cell>
          <cell r="J75">
            <v>0</v>
          </cell>
          <cell r="L75">
            <v>0</v>
          </cell>
          <cell r="M75">
            <v>0</v>
          </cell>
          <cell r="N75">
            <v>0</v>
          </cell>
          <cell r="S75">
            <v>0</v>
          </cell>
          <cell r="T75">
            <v>0</v>
          </cell>
          <cell r="U75">
            <v>0</v>
          </cell>
          <cell r="Y75">
            <v>0</v>
          </cell>
          <cell r="Z75">
            <v>0</v>
          </cell>
          <cell r="AA75">
            <v>72</v>
          </cell>
          <cell r="AB75">
            <v>75</v>
          </cell>
          <cell r="AC75">
            <v>71</v>
          </cell>
          <cell r="AD75">
            <v>60</v>
          </cell>
          <cell r="AK75">
            <v>714266.26980863197</v>
          </cell>
          <cell r="AL75">
            <v>278</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I75">
            <v>0</v>
          </cell>
          <cell r="CJ75">
            <v>0</v>
          </cell>
          <cell r="CK75">
            <v>5642.57</v>
          </cell>
          <cell r="CL75">
            <v>4043.7286187273335</v>
          </cell>
          <cell r="CM75">
            <v>9686.2986187273327</v>
          </cell>
          <cell r="CQ75">
            <v>2285.1928783382787</v>
          </cell>
          <cell r="CR75">
            <v>4220.3999999999996</v>
          </cell>
          <cell r="CS75">
            <v>7881.3251458990999</v>
          </cell>
          <cell r="CT75">
            <v>14386.918024237379</v>
          </cell>
          <cell r="CU75">
            <v>9134.8512010215345</v>
          </cell>
          <cell r="CV75">
            <v>0</v>
          </cell>
          <cell r="CW75">
            <v>9134.8512010215345</v>
          </cell>
          <cell r="CX75">
            <v>0</v>
          </cell>
          <cell r="CZ75">
            <v>0</v>
          </cell>
          <cell r="DC75">
            <v>0</v>
          </cell>
          <cell r="DD75">
            <v>45834.155048805456</v>
          </cell>
          <cell r="DE75">
            <v>17280.988777146187</v>
          </cell>
          <cell r="DF75">
            <v>2568.3522742578525</v>
          </cell>
          <cell r="DG75">
            <v>0</v>
          </cell>
          <cell r="DH75">
            <v>0</v>
          </cell>
          <cell r="DI75">
            <v>65683.496100209493</v>
          </cell>
          <cell r="DJ75">
            <v>0</v>
          </cell>
          <cell r="DK75">
            <v>12824</v>
          </cell>
          <cell r="DL75">
            <v>4623.2299999999996</v>
          </cell>
          <cell r="DM75">
            <v>70073.495851086889</v>
          </cell>
          <cell r="DN75">
            <v>0</v>
          </cell>
          <cell r="DO75">
            <v>0</v>
          </cell>
          <cell r="DP75">
            <v>0</v>
          </cell>
          <cell r="DQ75">
            <v>87520.725851086885</v>
          </cell>
          <cell r="DR75">
            <v>0</v>
          </cell>
          <cell r="DS75">
            <v>0</v>
          </cell>
          <cell r="DT75">
            <v>0</v>
          </cell>
          <cell r="DU75">
            <v>0</v>
          </cell>
          <cell r="DV75">
            <v>0</v>
          </cell>
          <cell r="DW75">
            <v>0</v>
          </cell>
          <cell r="DX75">
            <v>0</v>
          </cell>
          <cell r="DY75">
            <v>1633.9197212005261</v>
          </cell>
          <cell r="DZ75">
            <v>0</v>
          </cell>
          <cell r="EA75">
            <v>0</v>
          </cell>
          <cell r="EB75">
            <v>1633.9197212005261</v>
          </cell>
          <cell r="EE75">
            <v>0</v>
          </cell>
          <cell r="EH75">
            <v>0</v>
          </cell>
          <cell r="EI75">
            <v>0</v>
          </cell>
          <cell r="EK75">
            <v>0</v>
          </cell>
          <cell r="EL75">
            <v>0</v>
          </cell>
          <cell r="EM75">
            <v>0</v>
          </cell>
          <cell r="EO75">
            <v>0</v>
          </cell>
          <cell r="EP75">
            <v>0</v>
          </cell>
          <cell r="EQ75">
            <v>0</v>
          </cell>
          <cell r="ER75">
            <v>902312.47932511522</v>
          </cell>
          <cell r="ET75">
            <v>278</v>
          </cell>
          <cell r="EU75">
            <v>3245.7283428960977</v>
          </cell>
          <cell r="EV75" t="str">
            <v>No Variation Applied</v>
          </cell>
          <cell r="EW75">
            <v>29050</v>
          </cell>
          <cell r="EX75">
            <v>0</v>
          </cell>
          <cell r="EY75">
            <v>0</v>
          </cell>
          <cell r="EZ75">
            <v>77337.278475077095</v>
          </cell>
        </row>
        <row r="76">
          <cell r="C76" t="str">
            <v>Asterdale Primary School</v>
          </cell>
          <cell r="D76">
            <v>2464</v>
          </cell>
          <cell r="F76" t="str">
            <v/>
          </cell>
          <cell r="G76">
            <v>0</v>
          </cell>
          <cell r="H76">
            <v>24480</v>
          </cell>
          <cell r="I76">
            <v>0</v>
          </cell>
          <cell r="J76">
            <v>0</v>
          </cell>
          <cell r="L76">
            <v>85592.636790603021</v>
          </cell>
          <cell r="M76">
            <v>24480</v>
          </cell>
          <cell r="N76">
            <v>25.768421052631577</v>
          </cell>
          <cell r="S76">
            <v>0</v>
          </cell>
          <cell r="T76">
            <v>0</v>
          </cell>
          <cell r="U76">
            <v>30</v>
          </cell>
          <cell r="Y76">
            <v>30</v>
          </cell>
          <cell r="Z76">
            <v>19</v>
          </cell>
          <cell r="AA76">
            <v>24</v>
          </cell>
          <cell r="AB76">
            <v>22</v>
          </cell>
          <cell r="AC76">
            <v>20</v>
          </cell>
          <cell r="AD76">
            <v>24</v>
          </cell>
          <cell r="AK76">
            <v>438506.81433442369</v>
          </cell>
          <cell r="AL76">
            <v>169</v>
          </cell>
          <cell r="BS76">
            <v>3249.4560000000001</v>
          </cell>
          <cell r="BT76">
            <v>0</v>
          </cell>
          <cell r="BU76">
            <v>0</v>
          </cell>
          <cell r="BV76">
            <v>0</v>
          </cell>
          <cell r="BW76">
            <v>0</v>
          </cell>
          <cell r="BX76">
            <v>-9654.2710156044486</v>
          </cell>
          <cell r="BY76">
            <v>0</v>
          </cell>
          <cell r="BZ76">
            <v>0</v>
          </cell>
          <cell r="CA76">
            <v>0</v>
          </cell>
          <cell r="CB76">
            <v>0</v>
          </cell>
          <cell r="CC76">
            <v>0</v>
          </cell>
          <cell r="CD76">
            <v>0</v>
          </cell>
          <cell r="CE76">
            <v>-6404.8150156044485</v>
          </cell>
          <cell r="CF76">
            <v>11340.305565018814</v>
          </cell>
          <cell r="CI76">
            <v>0</v>
          </cell>
          <cell r="CJ76">
            <v>0</v>
          </cell>
          <cell r="CK76">
            <v>3430.19</v>
          </cell>
          <cell r="CL76">
            <v>2962.5794827973805</v>
          </cell>
          <cell r="CM76">
            <v>17733.075047816194</v>
          </cell>
          <cell r="CQ76">
            <v>3046.9238377843717</v>
          </cell>
          <cell r="CR76">
            <v>602.91</v>
          </cell>
          <cell r="CS76">
            <v>2829.1936421176256</v>
          </cell>
          <cell r="CT76">
            <v>6479.0274799019971</v>
          </cell>
          <cell r="CU76">
            <v>0</v>
          </cell>
          <cell r="CV76">
            <v>0</v>
          </cell>
          <cell r="CW76">
            <v>0</v>
          </cell>
          <cell r="CX76">
            <v>0</v>
          </cell>
          <cell r="CZ76">
            <v>0</v>
          </cell>
          <cell r="DC76">
            <v>0</v>
          </cell>
          <cell r="DD76">
            <v>66775.113919237818</v>
          </cell>
          <cell r="DE76">
            <v>24102.431715493367</v>
          </cell>
          <cell r="DF76">
            <v>14553.996220794497</v>
          </cell>
          <cell r="DG76">
            <v>0</v>
          </cell>
          <cell r="DH76">
            <v>0</v>
          </cell>
          <cell r="DI76">
            <v>105431.54185552568</v>
          </cell>
          <cell r="DJ76">
            <v>0</v>
          </cell>
          <cell r="DK76">
            <v>12137</v>
          </cell>
          <cell r="DL76">
            <v>5904.43</v>
          </cell>
          <cell r="DM76">
            <v>74722.185859261808</v>
          </cell>
          <cell r="DN76">
            <v>0</v>
          </cell>
          <cell r="DO76">
            <v>0</v>
          </cell>
          <cell r="DP76">
            <v>0</v>
          </cell>
          <cell r="DQ76">
            <v>92763.615859261801</v>
          </cell>
          <cell r="DR76">
            <v>0</v>
          </cell>
          <cell r="DS76">
            <v>0</v>
          </cell>
          <cell r="DT76">
            <v>0</v>
          </cell>
          <cell r="DU76">
            <v>0</v>
          </cell>
          <cell r="DV76">
            <v>0</v>
          </cell>
          <cell r="DW76">
            <v>0</v>
          </cell>
          <cell r="DX76">
            <v>0</v>
          </cell>
          <cell r="DY76">
            <v>3594.6233866411571</v>
          </cell>
          <cell r="DZ76">
            <v>0</v>
          </cell>
          <cell r="EA76">
            <v>0</v>
          </cell>
          <cell r="EB76">
            <v>3594.6233866411571</v>
          </cell>
          <cell r="EE76">
            <v>0</v>
          </cell>
          <cell r="EH76">
            <v>0</v>
          </cell>
          <cell r="EI76">
            <v>0</v>
          </cell>
          <cell r="EK76">
            <v>0</v>
          </cell>
          <cell r="EL76">
            <v>0</v>
          </cell>
          <cell r="EM76">
            <v>0</v>
          </cell>
          <cell r="EO76">
            <v>0</v>
          </cell>
          <cell r="EP76">
            <v>56501.791736711632</v>
          </cell>
          <cell r="EQ76">
            <v>79187.821774998578</v>
          </cell>
          <cell r="ER76">
            <v>800198.31147528079</v>
          </cell>
          <cell r="ET76">
            <v>194.76842105263157</v>
          </cell>
          <cell r="EU76">
            <v>4108.4602275388679</v>
          </cell>
          <cell r="EV76" t="str">
            <v>No Variation Applied</v>
          </cell>
          <cell r="EW76">
            <v>33850</v>
          </cell>
          <cell r="EX76">
            <v>0</v>
          </cell>
          <cell r="EY76">
            <v>0</v>
          </cell>
          <cell r="EZ76">
            <v>95662.088380269473</v>
          </cell>
        </row>
        <row r="77">
          <cell r="C77" t="str">
            <v>Springfield Primary School</v>
          </cell>
          <cell r="D77">
            <v>2466</v>
          </cell>
          <cell r="F77" t="str">
            <v/>
          </cell>
          <cell r="G77">
            <v>0</v>
          </cell>
          <cell r="H77">
            <v>0</v>
          </cell>
          <cell r="I77">
            <v>0</v>
          </cell>
          <cell r="J77">
            <v>0</v>
          </cell>
          <cell r="L77">
            <v>0</v>
          </cell>
          <cell r="M77">
            <v>0</v>
          </cell>
          <cell r="N77">
            <v>0</v>
          </cell>
          <cell r="S77">
            <v>0</v>
          </cell>
          <cell r="T77">
            <v>0</v>
          </cell>
          <cell r="U77">
            <v>27</v>
          </cell>
          <cell r="Y77">
            <v>17</v>
          </cell>
          <cell r="Z77">
            <v>5</v>
          </cell>
          <cell r="AA77">
            <v>28</v>
          </cell>
          <cell r="AB77">
            <v>17</v>
          </cell>
          <cell r="AC77">
            <v>20</v>
          </cell>
          <cell r="AD77">
            <v>23</v>
          </cell>
          <cell r="AK77">
            <v>358488.97290738375</v>
          </cell>
          <cell r="AL77">
            <v>137</v>
          </cell>
          <cell r="BS77">
            <v>0</v>
          </cell>
          <cell r="BT77">
            <v>0</v>
          </cell>
          <cell r="BU77">
            <v>0</v>
          </cell>
          <cell r="BV77">
            <v>0</v>
          </cell>
          <cell r="BW77">
            <v>0</v>
          </cell>
          <cell r="BX77">
            <v>0</v>
          </cell>
          <cell r="BY77">
            <v>0</v>
          </cell>
          <cell r="BZ77">
            <v>0</v>
          </cell>
          <cell r="CA77">
            <v>0</v>
          </cell>
          <cell r="CB77">
            <v>0</v>
          </cell>
          <cell r="CC77">
            <v>0</v>
          </cell>
          <cell r="CD77">
            <v>0</v>
          </cell>
          <cell r="CE77">
            <v>0</v>
          </cell>
          <cell r="CF77">
            <v>11340.305565018814</v>
          </cell>
          <cell r="CI77">
            <v>0</v>
          </cell>
          <cell r="CJ77">
            <v>0</v>
          </cell>
          <cell r="CK77">
            <v>2780.69</v>
          </cell>
          <cell r="CL77">
            <v>961.87645545369503</v>
          </cell>
          <cell r="CM77">
            <v>15082.87202047251</v>
          </cell>
          <cell r="CQ77">
            <v>3808.6547972304647</v>
          </cell>
          <cell r="CR77">
            <v>602.91</v>
          </cell>
          <cell r="CS77">
            <v>2829.1936421176256</v>
          </cell>
          <cell r="CT77">
            <v>7240.7584393480902</v>
          </cell>
          <cell r="CU77">
            <v>21022.671257145448</v>
          </cell>
          <cell r="CV77">
            <v>0</v>
          </cell>
          <cell r="CW77">
            <v>21022.671257145448</v>
          </cell>
          <cell r="CX77">
            <v>0</v>
          </cell>
          <cell r="CZ77">
            <v>0</v>
          </cell>
          <cell r="DC77">
            <v>0</v>
          </cell>
          <cell r="DD77">
            <v>35820.837391746609</v>
          </cell>
          <cell r="DE77">
            <v>6594.06150706894</v>
          </cell>
          <cell r="DF77">
            <v>3424.4696990104699</v>
          </cell>
          <cell r="DG77">
            <v>0</v>
          </cell>
          <cell r="DH77">
            <v>0</v>
          </cell>
          <cell r="DI77">
            <v>45839.368597826018</v>
          </cell>
          <cell r="DJ77">
            <v>0</v>
          </cell>
          <cell r="DK77">
            <v>11450</v>
          </cell>
          <cell r="DL77">
            <v>4226.3500000000004</v>
          </cell>
          <cell r="DM77">
            <v>74722.185859261808</v>
          </cell>
          <cell r="DN77">
            <v>0</v>
          </cell>
          <cell r="DO77">
            <v>0</v>
          </cell>
          <cell r="DP77">
            <v>0</v>
          </cell>
          <cell r="DQ77">
            <v>90398.535859261814</v>
          </cell>
          <cell r="DR77">
            <v>0</v>
          </cell>
          <cell r="DS77">
            <v>0</v>
          </cell>
          <cell r="DT77">
            <v>0</v>
          </cell>
          <cell r="DU77">
            <v>0</v>
          </cell>
          <cell r="DV77">
            <v>0</v>
          </cell>
          <cell r="DW77">
            <v>0</v>
          </cell>
          <cell r="DX77">
            <v>0</v>
          </cell>
          <cell r="DY77">
            <v>5555.3270520817887</v>
          </cell>
          <cell r="DZ77">
            <v>0</v>
          </cell>
          <cell r="EA77">
            <v>6494.1886918701339</v>
          </cell>
          <cell r="EB77">
            <v>12049.515743951923</v>
          </cell>
          <cell r="EE77">
            <v>0</v>
          </cell>
          <cell r="EH77">
            <v>0</v>
          </cell>
          <cell r="EI77">
            <v>3271.3254999999999</v>
          </cell>
          <cell r="EK77">
            <v>0</v>
          </cell>
          <cell r="EL77">
            <v>4255</v>
          </cell>
          <cell r="EM77">
            <v>0</v>
          </cell>
          <cell r="EO77">
            <v>7526.3254999999999</v>
          </cell>
          <cell r="EP77">
            <v>16662.874748644535</v>
          </cell>
          <cell r="EQ77">
            <v>0</v>
          </cell>
          <cell r="ER77">
            <v>574311.89507403411</v>
          </cell>
          <cell r="ET77">
            <v>137</v>
          </cell>
          <cell r="EU77">
            <v>4192.057628277621</v>
          </cell>
          <cell r="EV77" t="str">
            <v>No Variation Applied</v>
          </cell>
          <cell r="EW77">
            <v>23400</v>
          </cell>
          <cell r="EX77">
            <v>0</v>
          </cell>
          <cell r="EY77">
            <v>0</v>
          </cell>
          <cell r="EZ77">
            <v>75981.186050269171</v>
          </cell>
        </row>
        <row r="78">
          <cell r="C78" t="str">
            <v>Chaddesden Park Infant School</v>
          </cell>
          <cell r="D78">
            <v>2467</v>
          </cell>
          <cell r="F78" t="str">
            <v/>
          </cell>
          <cell r="G78">
            <v>0</v>
          </cell>
          <cell r="H78">
            <v>28110</v>
          </cell>
          <cell r="I78">
            <v>0</v>
          </cell>
          <cell r="J78">
            <v>0</v>
          </cell>
          <cell r="L78">
            <v>98284.682197052738</v>
          </cell>
          <cell r="M78">
            <v>28110</v>
          </cell>
          <cell r="N78">
            <v>29.589473684210525</v>
          </cell>
          <cell r="S78">
            <v>0</v>
          </cell>
          <cell r="T78">
            <v>0</v>
          </cell>
          <cell r="U78">
            <v>54</v>
          </cell>
          <cell r="Y78">
            <v>60</v>
          </cell>
          <cell r="Z78">
            <v>43</v>
          </cell>
          <cell r="AA78">
            <v>0</v>
          </cell>
          <cell r="AB78">
            <v>0</v>
          </cell>
          <cell r="AC78">
            <v>0</v>
          </cell>
          <cell r="AD78">
            <v>0</v>
          </cell>
          <cell r="AK78">
            <v>409350.03549839929</v>
          </cell>
          <cell r="AL78">
            <v>157</v>
          </cell>
          <cell r="BS78">
            <v>7852.8519999999999</v>
          </cell>
          <cell r="BT78">
            <v>0</v>
          </cell>
          <cell r="BU78">
            <v>116.05200000000001</v>
          </cell>
          <cell r="BV78">
            <v>0</v>
          </cell>
          <cell r="BW78">
            <v>0</v>
          </cell>
          <cell r="BX78">
            <v>7343.5443999999989</v>
          </cell>
          <cell r="BY78">
            <v>0</v>
          </cell>
          <cell r="BZ78">
            <v>3011.5493999999999</v>
          </cell>
          <cell r="CA78">
            <v>0</v>
          </cell>
          <cell r="CB78">
            <v>0</v>
          </cell>
          <cell r="CC78">
            <v>0</v>
          </cell>
          <cell r="CD78">
            <v>0</v>
          </cell>
          <cell r="CE78">
            <v>18323.997799999997</v>
          </cell>
          <cell r="CF78">
            <v>22680.611130037629</v>
          </cell>
          <cell r="CI78">
            <v>0</v>
          </cell>
          <cell r="CJ78">
            <v>0</v>
          </cell>
          <cell r="CK78">
            <v>3186.63</v>
          </cell>
          <cell r="CL78">
            <v>1569.7823753004302</v>
          </cell>
          <cell r="CM78">
            <v>27437.02350533806</v>
          </cell>
          <cell r="CQ78">
            <v>2285.1928783382787</v>
          </cell>
          <cell r="CR78">
            <v>401.94</v>
          </cell>
          <cell r="CS78">
            <v>1818.7673413613309</v>
          </cell>
          <cell r="CT78">
            <v>4505.9002196996098</v>
          </cell>
          <cell r="CU78">
            <v>0</v>
          </cell>
          <cell r="CV78">
            <v>0</v>
          </cell>
          <cell r="CW78">
            <v>0</v>
          </cell>
          <cell r="CX78">
            <v>0</v>
          </cell>
          <cell r="CZ78">
            <v>0</v>
          </cell>
          <cell r="DC78">
            <v>0</v>
          </cell>
          <cell r="DD78">
            <v>53443.686582004826</v>
          </cell>
          <cell r="DE78">
            <v>42747.709080308989</v>
          </cell>
          <cell r="DF78">
            <v>6848.9393980209397</v>
          </cell>
          <cell r="DG78">
            <v>0</v>
          </cell>
          <cell r="DH78">
            <v>0</v>
          </cell>
          <cell r="DI78">
            <v>103040.33506033476</v>
          </cell>
          <cell r="DJ78">
            <v>0</v>
          </cell>
          <cell r="DK78">
            <v>6125.75</v>
          </cell>
          <cell r="DL78">
            <v>2139.83</v>
          </cell>
          <cell r="DM78">
            <v>74722.185859261808</v>
          </cell>
          <cell r="DN78">
            <v>0</v>
          </cell>
          <cell r="DO78">
            <v>0</v>
          </cell>
          <cell r="DP78">
            <v>0</v>
          </cell>
          <cell r="DQ78">
            <v>82987.76585926181</v>
          </cell>
          <cell r="DR78">
            <v>0</v>
          </cell>
          <cell r="DS78">
            <v>0</v>
          </cell>
          <cell r="DT78">
            <v>0</v>
          </cell>
          <cell r="DU78">
            <v>0</v>
          </cell>
          <cell r="DV78">
            <v>0</v>
          </cell>
          <cell r="DW78">
            <v>0</v>
          </cell>
          <cell r="DX78">
            <v>0</v>
          </cell>
          <cell r="DY78">
            <v>4574.9752193614731</v>
          </cell>
          <cell r="DZ78">
            <v>0</v>
          </cell>
          <cell r="EA78">
            <v>0</v>
          </cell>
          <cell r="EB78">
            <v>4574.9752193614731</v>
          </cell>
          <cell r="EE78">
            <v>0</v>
          </cell>
          <cell r="EH78">
            <v>0</v>
          </cell>
          <cell r="EI78">
            <v>0</v>
          </cell>
          <cell r="EK78">
            <v>0</v>
          </cell>
          <cell r="EL78">
            <v>0</v>
          </cell>
          <cell r="EM78">
            <v>0</v>
          </cell>
          <cell r="EO78">
            <v>0</v>
          </cell>
          <cell r="EP78">
            <v>0</v>
          </cell>
          <cell r="EQ78">
            <v>116608.67999705274</v>
          </cell>
          <cell r="ER78">
            <v>748504.71535944776</v>
          </cell>
          <cell r="ET78">
            <v>186.58947368421053</v>
          </cell>
          <cell r="EU78">
            <v>4011.5055827116967</v>
          </cell>
          <cell r="EV78" t="str">
            <v>No Variation Applied</v>
          </cell>
          <cell r="EW78">
            <v>23650</v>
          </cell>
          <cell r="EX78">
            <v>0</v>
          </cell>
          <cell r="EY78">
            <v>0</v>
          </cell>
          <cell r="EZ78">
            <v>77267.529557503192</v>
          </cell>
        </row>
        <row r="79">
          <cell r="C79" t="str">
            <v>Silverhill Primary School</v>
          </cell>
          <cell r="D79">
            <v>2469</v>
          </cell>
          <cell r="F79" t="str">
            <v/>
          </cell>
          <cell r="G79">
            <v>0</v>
          </cell>
          <cell r="H79">
            <v>0</v>
          </cell>
          <cell r="I79">
            <v>0</v>
          </cell>
          <cell r="J79">
            <v>0</v>
          </cell>
          <cell r="L79">
            <v>0</v>
          </cell>
          <cell r="M79">
            <v>0</v>
          </cell>
          <cell r="N79">
            <v>0</v>
          </cell>
          <cell r="S79">
            <v>0</v>
          </cell>
          <cell r="T79">
            <v>0</v>
          </cell>
          <cell r="U79">
            <v>54</v>
          </cell>
          <cell r="Y79">
            <v>51</v>
          </cell>
          <cell r="Z79">
            <v>58</v>
          </cell>
          <cell r="AA79">
            <v>58</v>
          </cell>
          <cell r="AB79">
            <v>53</v>
          </cell>
          <cell r="AC79">
            <v>50</v>
          </cell>
          <cell r="AD79">
            <v>40</v>
          </cell>
          <cell r="AK79">
            <v>940481.94137394987</v>
          </cell>
          <cell r="AL79">
            <v>364</v>
          </cell>
          <cell r="BS79">
            <v>0</v>
          </cell>
          <cell r="BT79">
            <v>0</v>
          </cell>
          <cell r="BU79">
            <v>0</v>
          </cell>
          <cell r="BV79">
            <v>0</v>
          </cell>
          <cell r="BW79">
            <v>0</v>
          </cell>
          <cell r="BX79">
            <v>0</v>
          </cell>
          <cell r="BY79">
            <v>0</v>
          </cell>
          <cell r="BZ79">
            <v>0</v>
          </cell>
          <cell r="CA79">
            <v>0</v>
          </cell>
          <cell r="CB79">
            <v>0</v>
          </cell>
          <cell r="CC79">
            <v>0</v>
          </cell>
          <cell r="CD79">
            <v>0</v>
          </cell>
          <cell r="CE79">
            <v>0</v>
          </cell>
          <cell r="CF79">
            <v>34020.916695056439</v>
          </cell>
          <cell r="CI79">
            <v>0</v>
          </cell>
          <cell r="CJ79">
            <v>0</v>
          </cell>
          <cell r="CK79">
            <v>7388.11</v>
          </cell>
          <cell r="CL79">
            <v>5036.3851207555472</v>
          </cell>
          <cell r="CM79">
            <v>46445.411815811989</v>
          </cell>
          <cell r="CQ79">
            <v>3046.9238377843717</v>
          </cell>
          <cell r="CR79">
            <v>3416.51</v>
          </cell>
          <cell r="CS79">
            <v>13337.627169983092</v>
          </cell>
          <cell r="CT79">
            <v>19801.061007767465</v>
          </cell>
          <cell r="CU79">
            <v>13014.034587756705</v>
          </cell>
          <cell r="CV79">
            <v>9009.7162530623336</v>
          </cell>
          <cell r="CW79">
            <v>22023.750840819041</v>
          </cell>
          <cell r="CX79">
            <v>0</v>
          </cell>
          <cell r="CZ79">
            <v>0</v>
          </cell>
          <cell r="DC79">
            <v>0</v>
          </cell>
          <cell r="DD79">
            <v>48636.114334285841</v>
          </cell>
          <cell r="DE79">
            <v>24784.576009328084</v>
          </cell>
          <cell r="DF79">
            <v>4280.5871237630872</v>
          </cell>
          <cell r="DG79">
            <v>0</v>
          </cell>
          <cell r="DH79">
            <v>0</v>
          </cell>
          <cell r="DI79">
            <v>77701.277467377018</v>
          </cell>
          <cell r="DJ79">
            <v>0</v>
          </cell>
          <cell r="DK79">
            <v>13396.5</v>
          </cell>
          <cell r="DL79">
            <v>4408.53</v>
          </cell>
          <cell r="DM79">
            <v>70073.495851086889</v>
          </cell>
          <cell r="DN79">
            <v>0</v>
          </cell>
          <cell r="DO79">
            <v>0</v>
          </cell>
          <cell r="DP79">
            <v>0</v>
          </cell>
          <cell r="DQ79">
            <v>87878.525851086888</v>
          </cell>
          <cell r="DR79">
            <v>0</v>
          </cell>
          <cell r="DS79">
            <v>0</v>
          </cell>
          <cell r="DT79">
            <v>0</v>
          </cell>
          <cell r="DU79">
            <v>0</v>
          </cell>
          <cell r="DV79">
            <v>0</v>
          </cell>
          <cell r="DW79">
            <v>0</v>
          </cell>
          <cell r="DX79">
            <v>0</v>
          </cell>
          <cell r="DY79">
            <v>11437.438048403683</v>
          </cell>
          <cell r="DZ79">
            <v>0</v>
          </cell>
          <cell r="EA79">
            <v>0</v>
          </cell>
          <cell r="EB79">
            <v>11437.438048403683</v>
          </cell>
          <cell r="EE79">
            <v>0</v>
          </cell>
          <cell r="EH79">
            <v>0</v>
          </cell>
          <cell r="EI79">
            <v>8672.2829999999994</v>
          </cell>
          <cell r="EK79">
            <v>0</v>
          </cell>
          <cell r="EL79">
            <v>2252</v>
          </cell>
          <cell r="EM79">
            <v>0</v>
          </cell>
          <cell r="EO79">
            <v>10924.282999999999</v>
          </cell>
          <cell r="EP79">
            <v>0</v>
          </cell>
          <cell r="EQ79">
            <v>0</v>
          </cell>
          <cell r="ER79">
            <v>1216693.6894052161</v>
          </cell>
          <cell r="ET79">
            <v>364</v>
          </cell>
          <cell r="EU79">
            <v>3342.5650807835609</v>
          </cell>
          <cell r="EV79" t="str">
            <v>No Variation Applied</v>
          </cell>
          <cell r="EW79">
            <v>30600</v>
          </cell>
          <cell r="EX79">
            <v>0</v>
          </cell>
          <cell r="EY79">
            <v>0</v>
          </cell>
          <cell r="EZ79">
            <v>108108.90791141952</v>
          </cell>
        </row>
        <row r="80">
          <cell r="C80" t="str">
            <v>Oakwood Junior School</v>
          </cell>
          <cell r="D80">
            <v>2471</v>
          </cell>
          <cell r="F80" t="str">
            <v/>
          </cell>
          <cell r="G80">
            <v>0</v>
          </cell>
          <cell r="H80">
            <v>0</v>
          </cell>
          <cell r="I80">
            <v>0</v>
          </cell>
          <cell r="J80">
            <v>0</v>
          </cell>
          <cell r="L80">
            <v>0</v>
          </cell>
          <cell r="M80">
            <v>0</v>
          </cell>
          <cell r="N80">
            <v>0</v>
          </cell>
          <cell r="S80">
            <v>0</v>
          </cell>
          <cell r="T80">
            <v>0</v>
          </cell>
          <cell r="U80">
            <v>0</v>
          </cell>
          <cell r="Y80">
            <v>0</v>
          </cell>
          <cell r="Z80">
            <v>0</v>
          </cell>
          <cell r="AA80">
            <v>91</v>
          </cell>
          <cell r="AB80">
            <v>81</v>
          </cell>
          <cell r="AC80">
            <v>90</v>
          </cell>
          <cell r="AD80">
            <v>82</v>
          </cell>
          <cell r="AK80">
            <v>883840.2763099618</v>
          </cell>
          <cell r="AL80">
            <v>344</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I80">
            <v>0</v>
          </cell>
          <cell r="CJ80">
            <v>0</v>
          </cell>
          <cell r="CK80">
            <v>6982.17</v>
          </cell>
          <cell r="CL80">
            <v>3027.0252053127783</v>
          </cell>
          <cell r="CM80">
            <v>10009.195205312779</v>
          </cell>
          <cell r="CQ80">
            <v>8379.0405539070216</v>
          </cell>
          <cell r="CR80">
            <v>2210.69</v>
          </cell>
          <cell r="CS80">
            <v>5860.47254438651</v>
          </cell>
          <cell r="CT80">
            <v>16450.203098293532</v>
          </cell>
          <cell r="CU80">
            <v>9760.525940817528</v>
          </cell>
          <cell r="CV80">
            <v>0</v>
          </cell>
          <cell r="CW80">
            <v>9760.525940817528</v>
          </cell>
          <cell r="CX80">
            <v>0</v>
          </cell>
          <cell r="CZ80">
            <v>0</v>
          </cell>
          <cell r="DC80">
            <v>0</v>
          </cell>
          <cell r="DD80">
            <v>133771.43515048723</v>
          </cell>
          <cell r="DE80">
            <v>118010.9628334062</v>
          </cell>
          <cell r="DF80">
            <v>12841.761371289262</v>
          </cell>
          <cell r="DG80">
            <v>0</v>
          </cell>
          <cell r="DH80">
            <v>0</v>
          </cell>
          <cell r="DI80">
            <v>264624.15935518267</v>
          </cell>
          <cell r="DJ80">
            <v>0</v>
          </cell>
          <cell r="DK80">
            <v>14198</v>
          </cell>
          <cell r="DL80">
            <v>10447.42</v>
          </cell>
          <cell r="DM80">
            <v>70073.495851086889</v>
          </cell>
          <cell r="DN80">
            <v>0</v>
          </cell>
          <cell r="DO80">
            <v>0</v>
          </cell>
          <cell r="DP80">
            <v>0</v>
          </cell>
          <cell r="DQ80">
            <v>94718.915851086887</v>
          </cell>
          <cell r="DR80">
            <v>0</v>
          </cell>
          <cell r="DS80">
            <v>0</v>
          </cell>
          <cell r="DT80">
            <v>0</v>
          </cell>
          <cell r="DU80">
            <v>0</v>
          </cell>
          <cell r="DV80">
            <v>0</v>
          </cell>
          <cell r="DW80">
            <v>0</v>
          </cell>
          <cell r="DX80">
            <v>0</v>
          </cell>
          <cell r="DY80">
            <v>5882.1109963218933</v>
          </cell>
          <cell r="DZ80">
            <v>0</v>
          </cell>
          <cell r="EA80">
            <v>0</v>
          </cell>
          <cell r="EB80">
            <v>5882.1109963218933</v>
          </cell>
          <cell r="EE80">
            <v>0</v>
          </cell>
          <cell r="EH80">
            <v>0</v>
          </cell>
          <cell r="EI80">
            <v>0</v>
          </cell>
          <cell r="EK80">
            <v>0</v>
          </cell>
          <cell r="EL80">
            <v>2377</v>
          </cell>
          <cell r="EM80">
            <v>0</v>
          </cell>
          <cell r="EO80">
            <v>2377</v>
          </cell>
          <cell r="EP80">
            <v>0</v>
          </cell>
          <cell r="EQ80">
            <v>0</v>
          </cell>
          <cell r="ER80">
            <v>1287662.3867569773</v>
          </cell>
          <cell r="ET80">
            <v>344</v>
          </cell>
          <cell r="EU80">
            <v>3743.2046126656319</v>
          </cell>
          <cell r="EV80" t="str">
            <v>No Variation Applied</v>
          </cell>
          <cell r="EW80">
            <v>84500</v>
          </cell>
          <cell r="EX80">
            <v>0</v>
          </cell>
          <cell r="EY80">
            <v>0</v>
          </cell>
          <cell r="EZ80">
            <v>187274.26951246319</v>
          </cell>
        </row>
        <row r="81">
          <cell r="C81" t="str">
            <v>Oakwood Infant and Nursery School</v>
          </cell>
          <cell r="D81">
            <v>2473</v>
          </cell>
          <cell r="F81" t="str">
            <v/>
          </cell>
          <cell r="G81">
            <v>0</v>
          </cell>
          <cell r="H81">
            <v>41640</v>
          </cell>
          <cell r="I81">
            <v>0</v>
          </cell>
          <cell r="J81">
            <v>0</v>
          </cell>
          <cell r="L81">
            <v>145591.39689381985</v>
          </cell>
          <cell r="M81">
            <v>41640</v>
          </cell>
          <cell r="N81">
            <v>43.831578947368421</v>
          </cell>
          <cell r="S81">
            <v>0</v>
          </cell>
          <cell r="T81">
            <v>0</v>
          </cell>
          <cell r="U81">
            <v>90</v>
          </cell>
          <cell r="Y81">
            <v>91</v>
          </cell>
          <cell r="Z81">
            <v>85</v>
          </cell>
          <cell r="AA81">
            <v>0</v>
          </cell>
          <cell r="AB81">
            <v>0</v>
          </cell>
          <cell r="AC81">
            <v>0</v>
          </cell>
          <cell r="AD81">
            <v>0</v>
          </cell>
          <cell r="AK81">
            <v>692868.15365326428</v>
          </cell>
          <cell r="AL81">
            <v>266</v>
          </cell>
          <cell r="BS81">
            <v>13810.188</v>
          </cell>
          <cell r="BT81">
            <v>0</v>
          </cell>
          <cell r="BU81">
            <v>0</v>
          </cell>
          <cell r="BV81">
            <v>0</v>
          </cell>
          <cell r="BW81">
            <v>0</v>
          </cell>
          <cell r="BX81">
            <v>-10364.731599999999</v>
          </cell>
          <cell r="BY81">
            <v>0</v>
          </cell>
          <cell r="BZ81">
            <v>7026.9486000000006</v>
          </cell>
          <cell r="CA81">
            <v>0</v>
          </cell>
          <cell r="CB81">
            <v>0</v>
          </cell>
          <cell r="CC81">
            <v>0</v>
          </cell>
          <cell r="CD81">
            <v>0</v>
          </cell>
          <cell r="CE81">
            <v>10472.405000000002</v>
          </cell>
          <cell r="CF81">
            <v>34020.916695056439</v>
          </cell>
          <cell r="CI81">
            <v>0</v>
          </cell>
          <cell r="CJ81">
            <v>0</v>
          </cell>
          <cell r="CK81">
            <v>5399</v>
          </cell>
          <cell r="CL81">
            <v>2552.8201127741063</v>
          </cell>
          <cell r="CM81">
            <v>41972.736807830544</v>
          </cell>
          <cell r="CQ81">
            <v>3046.9238377843717</v>
          </cell>
          <cell r="CR81">
            <v>1205.83</v>
          </cell>
          <cell r="CS81">
            <v>5658.3872842352512</v>
          </cell>
          <cell r="CT81">
            <v>9911.1411220196242</v>
          </cell>
          <cell r="CU81">
            <v>15892.138390818283</v>
          </cell>
          <cell r="CV81">
            <v>0</v>
          </cell>
          <cell r="CW81">
            <v>15892.138390818283</v>
          </cell>
          <cell r="CX81">
            <v>0</v>
          </cell>
          <cell r="CZ81">
            <v>0</v>
          </cell>
          <cell r="DC81">
            <v>0</v>
          </cell>
          <cell r="DD81">
            <v>110352.95438552485</v>
          </cell>
          <cell r="DE81">
            <v>103231.16980032065</v>
          </cell>
          <cell r="DF81">
            <v>9417.2916722787922</v>
          </cell>
          <cell r="DG81">
            <v>0</v>
          </cell>
          <cell r="DH81">
            <v>0</v>
          </cell>
          <cell r="DI81">
            <v>223001.41585812427</v>
          </cell>
          <cell r="DJ81">
            <v>0</v>
          </cell>
          <cell r="DK81">
            <v>14198</v>
          </cell>
          <cell r="DL81">
            <v>7738.49</v>
          </cell>
          <cell r="DM81">
            <v>70073.495851086889</v>
          </cell>
          <cell r="DN81">
            <v>0</v>
          </cell>
          <cell r="DO81">
            <v>0</v>
          </cell>
          <cell r="DP81">
            <v>0</v>
          </cell>
          <cell r="DQ81">
            <v>92009.98585108688</v>
          </cell>
          <cell r="DR81">
            <v>0</v>
          </cell>
          <cell r="DS81">
            <v>0</v>
          </cell>
          <cell r="DT81">
            <v>0</v>
          </cell>
          <cell r="DU81">
            <v>0</v>
          </cell>
          <cell r="DV81">
            <v>0</v>
          </cell>
          <cell r="DW81">
            <v>0</v>
          </cell>
          <cell r="DX81">
            <v>0</v>
          </cell>
          <cell r="DY81">
            <v>3594.6233866411571</v>
          </cell>
          <cell r="DZ81">
            <v>0</v>
          </cell>
          <cell r="EA81">
            <v>0</v>
          </cell>
          <cell r="EB81">
            <v>3594.6233866411571</v>
          </cell>
          <cell r="EE81">
            <v>0</v>
          </cell>
          <cell r="EH81">
            <v>0</v>
          </cell>
          <cell r="EI81">
            <v>0</v>
          </cell>
          <cell r="EK81">
            <v>0</v>
          </cell>
          <cell r="EL81">
            <v>22261</v>
          </cell>
          <cell r="EM81">
            <v>0</v>
          </cell>
          <cell r="EO81">
            <v>22261</v>
          </cell>
          <cell r="EP81">
            <v>0</v>
          </cell>
          <cell r="EQ81">
            <v>156063.80189381985</v>
          </cell>
          <cell r="ER81">
            <v>1257574.9969636048</v>
          </cell>
          <cell r="ET81">
            <v>309.83157894736843</v>
          </cell>
          <cell r="EU81">
            <v>4058.8987127655928</v>
          </cell>
          <cell r="EV81" t="str">
            <v>No Variation Applied</v>
          </cell>
          <cell r="EW81">
            <v>53300</v>
          </cell>
          <cell r="EX81">
            <v>0</v>
          </cell>
          <cell r="EY81">
            <v>0</v>
          </cell>
          <cell r="EZ81">
            <v>161693.79068846695</v>
          </cell>
        </row>
        <row r="82">
          <cell r="C82" t="str">
            <v>Redwood Primary School</v>
          </cell>
          <cell r="D82">
            <v>2505</v>
          </cell>
          <cell r="F82" t="str">
            <v/>
          </cell>
          <cell r="G82">
            <v>0</v>
          </cell>
          <cell r="H82">
            <v>52260</v>
          </cell>
          <cell r="I82">
            <v>0</v>
          </cell>
          <cell r="J82">
            <v>0</v>
          </cell>
          <cell r="L82">
            <v>182723.49667797852</v>
          </cell>
          <cell r="M82">
            <v>52260</v>
          </cell>
          <cell r="N82">
            <v>55.010526315789477</v>
          </cell>
          <cell r="S82">
            <v>0</v>
          </cell>
          <cell r="T82">
            <v>0</v>
          </cell>
          <cell r="U82">
            <v>75</v>
          </cell>
          <cell r="Y82">
            <v>66</v>
          </cell>
          <cell r="Z82">
            <v>61</v>
          </cell>
          <cell r="AA82">
            <v>54</v>
          </cell>
          <cell r="AB82">
            <v>50</v>
          </cell>
          <cell r="AC82">
            <v>49</v>
          </cell>
          <cell r="AD82">
            <v>51</v>
          </cell>
          <cell r="AK82">
            <v>1053338.1528699431</v>
          </cell>
          <cell r="AL82">
            <v>406</v>
          </cell>
          <cell r="BS82">
            <v>21817.776000000002</v>
          </cell>
          <cell r="BT82">
            <v>0</v>
          </cell>
          <cell r="BU82">
            <v>3829.7159999999999</v>
          </cell>
          <cell r="BV82">
            <v>0</v>
          </cell>
          <cell r="BW82">
            <v>0</v>
          </cell>
          <cell r="BX82">
            <v>12276.824399999983</v>
          </cell>
          <cell r="BY82">
            <v>0</v>
          </cell>
          <cell r="BZ82">
            <v>0</v>
          </cell>
          <cell r="CA82">
            <v>0</v>
          </cell>
          <cell r="CB82">
            <v>0</v>
          </cell>
          <cell r="CC82">
            <v>0</v>
          </cell>
          <cell r="CD82">
            <v>0</v>
          </cell>
          <cell r="CE82">
            <v>37924.316399999982</v>
          </cell>
          <cell r="CF82">
            <v>34020.916695056439</v>
          </cell>
          <cell r="CI82">
            <v>0</v>
          </cell>
          <cell r="CJ82">
            <v>0</v>
          </cell>
          <cell r="CK82">
            <v>8240.58</v>
          </cell>
          <cell r="CL82">
            <v>3008.7495526591583</v>
          </cell>
          <cell r="CM82">
            <v>45270.2462477156</v>
          </cell>
          <cell r="CQ82">
            <v>12949.42631058358</v>
          </cell>
          <cell r="CR82">
            <v>19896.169999999998</v>
          </cell>
          <cell r="CS82">
            <v>14145.968210588129</v>
          </cell>
          <cell r="CT82">
            <v>46991.564521171706</v>
          </cell>
          <cell r="CU82">
            <v>3003.2387510207782</v>
          </cell>
          <cell r="CV82">
            <v>0</v>
          </cell>
          <cell r="CW82">
            <v>3003.2387510207782</v>
          </cell>
          <cell r="CX82">
            <v>0</v>
          </cell>
          <cell r="CZ82">
            <v>0</v>
          </cell>
          <cell r="DC82">
            <v>0</v>
          </cell>
          <cell r="DD82">
            <v>163516.44503898162</v>
          </cell>
          <cell r="DE82">
            <v>202596.85526891123</v>
          </cell>
          <cell r="DF82">
            <v>10273.40909703141</v>
          </cell>
          <cell r="DG82">
            <v>0</v>
          </cell>
          <cell r="DH82">
            <v>0</v>
          </cell>
          <cell r="DI82">
            <v>376386.70940492424</v>
          </cell>
          <cell r="DJ82">
            <v>0</v>
          </cell>
          <cell r="DK82">
            <v>26793</v>
          </cell>
          <cell r="DL82">
            <v>6827.96</v>
          </cell>
          <cell r="DM82">
            <v>70073.495851086889</v>
          </cell>
          <cell r="DN82">
            <v>0</v>
          </cell>
          <cell r="DO82">
            <v>0</v>
          </cell>
          <cell r="DP82">
            <v>0</v>
          </cell>
          <cell r="DQ82">
            <v>103694.45585108688</v>
          </cell>
          <cell r="DR82">
            <v>0</v>
          </cell>
          <cell r="DS82">
            <v>0</v>
          </cell>
          <cell r="DT82">
            <v>0</v>
          </cell>
          <cell r="DU82">
            <v>0</v>
          </cell>
          <cell r="DV82">
            <v>0</v>
          </cell>
          <cell r="DW82">
            <v>0</v>
          </cell>
          <cell r="DX82">
            <v>0</v>
          </cell>
          <cell r="DY82">
            <v>8496.3825502427353</v>
          </cell>
          <cell r="DZ82">
            <v>0</v>
          </cell>
          <cell r="EA82">
            <v>0</v>
          </cell>
          <cell r="EB82">
            <v>8496.3825502427353</v>
          </cell>
          <cell r="EE82">
            <v>0</v>
          </cell>
          <cell r="EH82">
            <v>0</v>
          </cell>
          <cell r="EI82">
            <v>0</v>
          </cell>
          <cell r="EK82">
            <v>0</v>
          </cell>
          <cell r="EL82">
            <v>4317</v>
          </cell>
          <cell r="EM82">
            <v>0</v>
          </cell>
          <cell r="EO82">
            <v>4317</v>
          </cell>
          <cell r="EP82">
            <v>0</v>
          </cell>
          <cell r="EQ82">
            <v>220647.8130779785</v>
          </cell>
          <cell r="ER82">
            <v>1862145.5632740832</v>
          </cell>
          <cell r="ET82">
            <v>461.01052631578949</v>
          </cell>
          <cell r="EU82">
            <v>4039.2690773366949</v>
          </cell>
          <cell r="EV82" t="str">
            <v>No Variation Applied</v>
          </cell>
          <cell r="EW82">
            <v>89400</v>
          </cell>
          <cell r="EX82">
            <v>0</v>
          </cell>
          <cell r="EY82">
            <v>0</v>
          </cell>
          <cell r="EZ82">
            <v>238994.01575034249</v>
          </cell>
        </row>
        <row r="83">
          <cell r="C83" t="str">
            <v>Ash Croft Primary School</v>
          </cell>
          <cell r="D83">
            <v>2509</v>
          </cell>
          <cell r="F83" t="str">
            <v/>
          </cell>
          <cell r="G83">
            <v>0</v>
          </cell>
          <cell r="H83">
            <v>0</v>
          </cell>
          <cell r="I83">
            <v>0</v>
          </cell>
          <cell r="J83">
            <v>0</v>
          </cell>
          <cell r="L83">
            <v>0</v>
          </cell>
          <cell r="M83">
            <v>0</v>
          </cell>
          <cell r="N83">
            <v>0</v>
          </cell>
          <cell r="S83">
            <v>0</v>
          </cell>
          <cell r="T83">
            <v>0</v>
          </cell>
          <cell r="U83">
            <v>32</v>
          </cell>
          <cell r="Y83">
            <v>25</v>
          </cell>
          <cell r="Z83">
            <v>28</v>
          </cell>
          <cell r="AA83">
            <v>23</v>
          </cell>
          <cell r="AB83">
            <v>21</v>
          </cell>
          <cell r="AC83">
            <v>23</v>
          </cell>
          <cell r="AD83">
            <v>21</v>
          </cell>
          <cell r="AK83">
            <v>448983.08522443764</v>
          </cell>
          <cell r="AL83">
            <v>173</v>
          </cell>
          <cell r="BS83">
            <v>0</v>
          </cell>
          <cell r="BT83">
            <v>0</v>
          </cell>
          <cell r="BU83">
            <v>0</v>
          </cell>
          <cell r="BV83">
            <v>0</v>
          </cell>
          <cell r="BW83">
            <v>0</v>
          </cell>
          <cell r="BX83">
            <v>0</v>
          </cell>
          <cell r="BY83">
            <v>0</v>
          </cell>
          <cell r="BZ83">
            <v>0</v>
          </cell>
          <cell r="CA83">
            <v>0</v>
          </cell>
          <cell r="CB83">
            <v>0</v>
          </cell>
          <cell r="CC83">
            <v>0</v>
          </cell>
          <cell r="CD83">
            <v>0</v>
          </cell>
          <cell r="CE83">
            <v>0</v>
          </cell>
          <cell r="CF83">
            <v>22680.611130037629</v>
          </cell>
          <cell r="CI83">
            <v>0</v>
          </cell>
          <cell r="CJ83">
            <v>0</v>
          </cell>
          <cell r="CK83">
            <v>3511.38</v>
          </cell>
          <cell r="CL83">
            <v>1850.6503002929094</v>
          </cell>
          <cell r="CM83">
            <v>28042.641430330539</v>
          </cell>
          <cell r="CQ83">
            <v>5332.1167161226504</v>
          </cell>
          <cell r="CR83">
            <v>5627.2</v>
          </cell>
          <cell r="CS83">
            <v>6062.5578045377697</v>
          </cell>
          <cell r="CT83">
            <v>17021.874520660422</v>
          </cell>
          <cell r="CU83">
            <v>250.26989591839819</v>
          </cell>
          <cell r="CV83">
            <v>0</v>
          </cell>
          <cell r="CW83">
            <v>250.26989591839819</v>
          </cell>
          <cell r="CX83">
            <v>0</v>
          </cell>
          <cell r="CZ83">
            <v>0</v>
          </cell>
          <cell r="DC83">
            <v>0</v>
          </cell>
          <cell r="DD83">
            <v>45303.257499977597</v>
          </cell>
          <cell r="DE83">
            <v>51160.822037603844</v>
          </cell>
          <cell r="DF83">
            <v>1712.2348495052349</v>
          </cell>
          <cell r="DG83">
            <v>0</v>
          </cell>
          <cell r="DH83">
            <v>0</v>
          </cell>
          <cell r="DI83">
            <v>98176.314387086677</v>
          </cell>
          <cell r="DJ83">
            <v>0</v>
          </cell>
          <cell r="DK83">
            <v>12480.5</v>
          </cell>
          <cell r="DL83">
            <v>3445.93</v>
          </cell>
          <cell r="DM83">
            <v>74722.185859261808</v>
          </cell>
          <cell r="DN83">
            <v>0</v>
          </cell>
          <cell r="DO83">
            <v>0</v>
          </cell>
          <cell r="DP83">
            <v>0</v>
          </cell>
          <cell r="DQ83">
            <v>90648.615859261801</v>
          </cell>
          <cell r="DR83">
            <v>0</v>
          </cell>
          <cell r="DS83">
            <v>0</v>
          </cell>
          <cell r="DT83">
            <v>0</v>
          </cell>
          <cell r="DU83">
            <v>0</v>
          </cell>
          <cell r="DV83">
            <v>0</v>
          </cell>
          <cell r="DW83">
            <v>0</v>
          </cell>
          <cell r="DX83">
            <v>0</v>
          </cell>
          <cell r="DY83">
            <v>6208.8949405619987</v>
          </cell>
          <cell r="DZ83">
            <v>0</v>
          </cell>
          <cell r="EA83">
            <v>0</v>
          </cell>
          <cell r="EB83">
            <v>6208.8949405619987</v>
          </cell>
          <cell r="EE83">
            <v>0</v>
          </cell>
          <cell r="EH83">
            <v>0</v>
          </cell>
          <cell r="EI83">
            <v>6580.8010000000004</v>
          </cell>
          <cell r="EK83">
            <v>0</v>
          </cell>
          <cell r="EL83">
            <v>-3204</v>
          </cell>
          <cell r="EM83">
            <v>0</v>
          </cell>
          <cell r="EO83">
            <v>3376.8010000000004</v>
          </cell>
          <cell r="EP83">
            <v>12020.538005692186</v>
          </cell>
          <cell r="EQ83">
            <v>0</v>
          </cell>
          <cell r="ER83">
            <v>704729.03526394966</v>
          </cell>
          <cell r="ET83">
            <v>173</v>
          </cell>
          <cell r="EU83">
            <v>4073.57823851994</v>
          </cell>
          <cell r="EV83" t="str">
            <v>No Variation Applied</v>
          </cell>
          <cell r="EW83">
            <v>27000</v>
          </cell>
          <cell r="EX83">
            <v>0</v>
          </cell>
          <cell r="EY83">
            <v>0</v>
          </cell>
          <cell r="EZ83">
            <v>71690.270563242171</v>
          </cell>
        </row>
        <row r="84">
          <cell r="C84" t="str">
            <v>Brookfield Primary School</v>
          </cell>
          <cell r="D84">
            <v>2512</v>
          </cell>
          <cell r="F84" t="str">
            <v/>
          </cell>
          <cell r="G84">
            <v>0</v>
          </cell>
          <cell r="H84">
            <v>14880</v>
          </cell>
          <cell r="I84">
            <v>0</v>
          </cell>
          <cell r="J84">
            <v>0</v>
          </cell>
          <cell r="L84">
            <v>52026.896872719488</v>
          </cell>
          <cell r="M84">
            <v>14880</v>
          </cell>
          <cell r="N84">
            <v>15.663157894736843</v>
          </cell>
          <cell r="S84">
            <v>0</v>
          </cell>
          <cell r="T84">
            <v>0</v>
          </cell>
          <cell r="U84">
            <v>30</v>
          </cell>
          <cell r="Y84">
            <v>29</v>
          </cell>
          <cell r="Z84">
            <v>30</v>
          </cell>
          <cell r="AA84">
            <v>30</v>
          </cell>
          <cell r="AB84">
            <v>28</v>
          </cell>
          <cell r="AC84">
            <v>28</v>
          </cell>
          <cell r="AD84">
            <v>31</v>
          </cell>
          <cell r="AK84">
            <v>532381.29378746846</v>
          </cell>
          <cell r="AL84">
            <v>206</v>
          </cell>
          <cell r="BS84">
            <v>812.36400000000003</v>
          </cell>
          <cell r="BT84">
            <v>0</v>
          </cell>
          <cell r="BU84">
            <v>464.20800000000003</v>
          </cell>
          <cell r="BV84">
            <v>0</v>
          </cell>
          <cell r="BW84">
            <v>0</v>
          </cell>
          <cell r="BX84">
            <v>-1223.1618000000017</v>
          </cell>
          <cell r="BY84">
            <v>0</v>
          </cell>
          <cell r="BZ84">
            <v>1003.8498</v>
          </cell>
          <cell r="CA84">
            <v>0</v>
          </cell>
          <cell r="CB84">
            <v>0</v>
          </cell>
          <cell r="CC84">
            <v>0</v>
          </cell>
          <cell r="CD84">
            <v>0</v>
          </cell>
          <cell r="CE84">
            <v>1057.2599999999984</v>
          </cell>
          <cell r="CF84">
            <v>11340.305565018814</v>
          </cell>
          <cell r="CI84">
            <v>0</v>
          </cell>
          <cell r="CJ84">
            <v>0</v>
          </cell>
          <cell r="CK84">
            <v>4181.18</v>
          </cell>
          <cell r="CL84">
            <v>2316.1985047324979</v>
          </cell>
          <cell r="CM84">
            <v>17837.684069751311</v>
          </cell>
          <cell r="CQ84">
            <v>761.73095944609292</v>
          </cell>
          <cell r="CR84">
            <v>8038.86</v>
          </cell>
          <cell r="CS84">
            <v>5254.2167639327336</v>
          </cell>
          <cell r="CT84">
            <v>14054.807723378824</v>
          </cell>
          <cell r="CU84">
            <v>3003.2387510207782</v>
          </cell>
          <cell r="CV84">
            <v>9009.7162530623336</v>
          </cell>
          <cell r="CW84">
            <v>12012.955004083113</v>
          </cell>
          <cell r="CX84">
            <v>0</v>
          </cell>
          <cell r="CZ84">
            <v>0</v>
          </cell>
          <cell r="DC84">
            <v>0</v>
          </cell>
          <cell r="DD84">
            <v>27134.763606757413</v>
          </cell>
          <cell r="DE84">
            <v>5457.1543506777434</v>
          </cell>
          <cell r="DF84">
            <v>856.11742475261747</v>
          </cell>
          <cell r="DG84">
            <v>0</v>
          </cell>
          <cell r="DH84">
            <v>0</v>
          </cell>
          <cell r="DI84">
            <v>33448.035382187772</v>
          </cell>
          <cell r="DJ84">
            <v>0</v>
          </cell>
          <cell r="DK84">
            <v>14427</v>
          </cell>
          <cell r="DL84">
            <v>4084.7</v>
          </cell>
          <cell r="DM84">
            <v>70073.495851086889</v>
          </cell>
          <cell r="DN84">
            <v>0</v>
          </cell>
          <cell r="DO84">
            <v>0</v>
          </cell>
          <cell r="DP84">
            <v>0</v>
          </cell>
          <cell r="DQ84">
            <v>88585.195851086886</v>
          </cell>
          <cell r="DR84">
            <v>0</v>
          </cell>
          <cell r="DS84">
            <v>0</v>
          </cell>
          <cell r="DT84">
            <v>0</v>
          </cell>
          <cell r="DU84">
            <v>0</v>
          </cell>
          <cell r="DV84">
            <v>0</v>
          </cell>
          <cell r="DW84">
            <v>0</v>
          </cell>
          <cell r="DX84">
            <v>0</v>
          </cell>
          <cell r="DY84">
            <v>2941.0554981609466</v>
          </cell>
          <cell r="DZ84">
            <v>0</v>
          </cell>
          <cell r="EA84">
            <v>0</v>
          </cell>
          <cell r="EB84">
            <v>2941.0554981609466</v>
          </cell>
          <cell r="EE84">
            <v>0</v>
          </cell>
          <cell r="EH84">
            <v>0</v>
          </cell>
          <cell r="EI84">
            <v>0</v>
          </cell>
          <cell r="EK84">
            <v>0</v>
          </cell>
          <cell r="EL84">
            <v>15270</v>
          </cell>
          <cell r="EM84">
            <v>0</v>
          </cell>
          <cell r="EO84">
            <v>15270</v>
          </cell>
          <cell r="EP84">
            <v>30282.73187580856</v>
          </cell>
          <cell r="EQ84">
            <v>53084.156872719483</v>
          </cell>
          <cell r="ER84">
            <v>799897.91606464551</v>
          </cell>
          <cell r="ET84">
            <v>221.66315789473686</v>
          </cell>
          <cell r="EU84">
            <v>3608.6191483588814</v>
          </cell>
          <cell r="EV84" t="str">
            <v>No Variation Applied</v>
          </cell>
          <cell r="EW84">
            <v>18000</v>
          </cell>
          <cell r="EX84">
            <v>0</v>
          </cell>
          <cell r="EY84">
            <v>0</v>
          </cell>
          <cell r="EZ84">
            <v>61853.986028449857</v>
          </cell>
        </row>
        <row r="85">
          <cell r="C85" t="str">
            <v>Grampian Primary School</v>
          </cell>
          <cell r="D85">
            <v>2515</v>
          </cell>
          <cell r="F85" t="str">
            <v/>
          </cell>
          <cell r="G85">
            <v>0</v>
          </cell>
          <cell r="H85">
            <v>22590</v>
          </cell>
          <cell r="I85">
            <v>0</v>
          </cell>
          <cell r="J85">
            <v>0</v>
          </cell>
          <cell r="L85">
            <v>78984.381744269704</v>
          </cell>
          <cell r="M85">
            <v>22590</v>
          </cell>
          <cell r="N85">
            <v>23.778947368421054</v>
          </cell>
          <cell r="S85">
            <v>0</v>
          </cell>
          <cell r="T85">
            <v>0</v>
          </cell>
          <cell r="U85">
            <v>30</v>
          </cell>
          <cell r="Y85">
            <v>30</v>
          </cell>
          <cell r="Z85">
            <v>30</v>
          </cell>
          <cell r="AA85">
            <v>26</v>
          </cell>
          <cell r="AB85">
            <v>23</v>
          </cell>
          <cell r="AC85">
            <v>18</v>
          </cell>
          <cell r="AD85">
            <v>29</v>
          </cell>
          <cell r="AK85">
            <v>480876.25758002256</v>
          </cell>
          <cell r="AL85">
            <v>186</v>
          </cell>
          <cell r="BS85">
            <v>11257.044</v>
          </cell>
          <cell r="BT85">
            <v>0</v>
          </cell>
          <cell r="BU85">
            <v>851.048</v>
          </cell>
          <cell r="BV85">
            <v>0</v>
          </cell>
          <cell r="BW85">
            <v>0</v>
          </cell>
          <cell r="BX85">
            <v>-7584.9822539198067</v>
          </cell>
          <cell r="BY85">
            <v>0</v>
          </cell>
          <cell r="BZ85">
            <v>1003.8498</v>
          </cell>
          <cell r="CA85">
            <v>0</v>
          </cell>
          <cell r="CB85">
            <v>0</v>
          </cell>
          <cell r="CC85">
            <v>0</v>
          </cell>
          <cell r="CD85">
            <v>0</v>
          </cell>
          <cell r="CE85">
            <v>5526.9595460801938</v>
          </cell>
          <cell r="CF85">
            <v>11340.305565018814</v>
          </cell>
          <cell r="CI85">
            <v>0</v>
          </cell>
          <cell r="CJ85">
            <v>0</v>
          </cell>
          <cell r="CK85">
            <v>3775.24</v>
          </cell>
          <cell r="CL85">
            <v>1623.6474568058372</v>
          </cell>
          <cell r="CM85">
            <v>16739.193021824653</v>
          </cell>
          <cell r="CQ85">
            <v>9140.7715133531146</v>
          </cell>
          <cell r="CR85">
            <v>8842.74</v>
          </cell>
          <cell r="CS85">
            <v>6062.5578045377697</v>
          </cell>
          <cell r="CT85">
            <v>24046.069317890884</v>
          </cell>
          <cell r="CU85">
            <v>28906.172978574989</v>
          </cell>
          <cell r="CV85">
            <v>0</v>
          </cell>
          <cell r="CW85">
            <v>28906.172978574989</v>
          </cell>
          <cell r="CX85">
            <v>0</v>
          </cell>
          <cell r="CZ85">
            <v>0</v>
          </cell>
          <cell r="DC85">
            <v>0</v>
          </cell>
          <cell r="DD85">
            <v>117918.24445632189</v>
          </cell>
          <cell r="DE85">
            <v>113235.95277656318</v>
          </cell>
          <cell r="DF85">
            <v>5136.704548515705</v>
          </cell>
          <cell r="DG85">
            <v>0</v>
          </cell>
          <cell r="DH85">
            <v>0</v>
          </cell>
          <cell r="DI85">
            <v>236290.90178140075</v>
          </cell>
          <cell r="DJ85">
            <v>0</v>
          </cell>
          <cell r="DK85">
            <v>16488</v>
          </cell>
          <cell r="DL85">
            <v>3012.63</v>
          </cell>
          <cell r="DM85">
            <v>70073.495851086889</v>
          </cell>
          <cell r="DN85">
            <v>0</v>
          </cell>
          <cell r="DO85">
            <v>0</v>
          </cell>
          <cell r="DP85">
            <v>0</v>
          </cell>
          <cell r="DQ85">
            <v>89574.125851086894</v>
          </cell>
          <cell r="DR85">
            <v>0</v>
          </cell>
          <cell r="DS85">
            <v>0</v>
          </cell>
          <cell r="DT85">
            <v>0</v>
          </cell>
          <cell r="DU85">
            <v>0</v>
          </cell>
          <cell r="DV85">
            <v>0</v>
          </cell>
          <cell r="DW85">
            <v>0</v>
          </cell>
          <cell r="DX85">
            <v>0</v>
          </cell>
          <cell r="DY85">
            <v>4574.9752193614731</v>
          </cell>
          <cell r="DZ85">
            <v>0</v>
          </cell>
          <cell r="EA85">
            <v>0</v>
          </cell>
          <cell r="EB85">
            <v>4574.9752193614731</v>
          </cell>
          <cell r="EE85">
            <v>0</v>
          </cell>
          <cell r="EH85">
            <v>0</v>
          </cell>
          <cell r="EI85">
            <v>0</v>
          </cell>
          <cell r="EK85">
            <v>0</v>
          </cell>
          <cell r="EL85">
            <v>18709</v>
          </cell>
          <cell r="EM85">
            <v>0</v>
          </cell>
          <cell r="EO85">
            <v>18709</v>
          </cell>
          <cell r="EP85">
            <v>78179.805381990387</v>
          </cell>
          <cell r="EQ85">
            <v>84511.341290349897</v>
          </cell>
          <cell r="ER85">
            <v>1062407.8424225026</v>
          </cell>
          <cell r="ET85">
            <v>209.77894736842106</v>
          </cell>
          <cell r="EU85">
            <v>5064.4159280514696</v>
          </cell>
          <cell r="EV85" t="str">
            <v>No Variation Applied</v>
          </cell>
          <cell r="EW85">
            <v>63600</v>
          </cell>
          <cell r="EX85">
            <v>0</v>
          </cell>
          <cell r="EY85">
            <v>0</v>
          </cell>
          <cell r="EZ85">
            <v>184176.07402465359</v>
          </cell>
        </row>
        <row r="86">
          <cell r="C86" t="str">
            <v>Firs Estate Primary School</v>
          </cell>
          <cell r="D86">
            <v>2518</v>
          </cell>
          <cell r="F86" t="str">
            <v/>
          </cell>
          <cell r="G86">
            <v>0</v>
          </cell>
          <cell r="H86">
            <v>16560</v>
          </cell>
          <cell r="I86">
            <v>0</v>
          </cell>
          <cell r="J86">
            <v>0</v>
          </cell>
          <cell r="L86">
            <v>57900.901358349103</v>
          </cell>
          <cell r="M86">
            <v>16560</v>
          </cell>
          <cell r="N86">
            <v>17.431578947368422</v>
          </cell>
          <cell r="S86">
            <v>0</v>
          </cell>
          <cell r="T86">
            <v>0</v>
          </cell>
          <cell r="U86">
            <v>54</v>
          </cell>
          <cell r="Y86">
            <v>42</v>
          </cell>
          <cell r="Z86">
            <v>44</v>
          </cell>
          <cell r="AA86">
            <v>34</v>
          </cell>
          <cell r="AB86">
            <v>35</v>
          </cell>
          <cell r="AC86">
            <v>21</v>
          </cell>
          <cell r="AD86">
            <v>35</v>
          </cell>
          <cell r="AK86">
            <v>688857.32514151535</v>
          </cell>
          <cell r="AL86">
            <v>265</v>
          </cell>
          <cell r="BS86">
            <v>6266.808</v>
          </cell>
          <cell r="BT86">
            <v>0</v>
          </cell>
          <cell r="BU86">
            <v>1276.5720000000001</v>
          </cell>
          <cell r="BV86">
            <v>0</v>
          </cell>
          <cell r="BW86">
            <v>0</v>
          </cell>
          <cell r="BX86">
            <v>6861.7660000000033</v>
          </cell>
          <cell r="BY86">
            <v>0</v>
          </cell>
          <cell r="BZ86">
            <v>2007.6995999999999</v>
          </cell>
          <cell r="CA86">
            <v>0</v>
          </cell>
          <cell r="CB86">
            <v>0</v>
          </cell>
          <cell r="CC86">
            <v>0</v>
          </cell>
          <cell r="CD86">
            <v>0</v>
          </cell>
          <cell r="CE86">
            <v>16412.845600000004</v>
          </cell>
          <cell r="CF86">
            <v>22680.611130037629</v>
          </cell>
          <cell r="CI86">
            <v>0</v>
          </cell>
          <cell r="CJ86">
            <v>0</v>
          </cell>
          <cell r="CK86">
            <v>5378.7</v>
          </cell>
          <cell r="CL86">
            <v>2185.3833067907949</v>
          </cell>
          <cell r="CM86">
            <v>30244.694436828424</v>
          </cell>
          <cell r="CQ86">
            <v>28945.776458951532</v>
          </cell>
          <cell r="CR86">
            <v>22307.83</v>
          </cell>
          <cell r="CS86">
            <v>12731.371389529315</v>
          </cell>
          <cell r="CT86">
            <v>63984.977848480848</v>
          </cell>
          <cell r="CU86">
            <v>4254.5882306127687</v>
          </cell>
          <cell r="CV86">
            <v>0</v>
          </cell>
          <cell r="CW86">
            <v>4254.5882306127687</v>
          </cell>
          <cell r="CX86">
            <v>0</v>
          </cell>
          <cell r="CZ86">
            <v>0</v>
          </cell>
          <cell r="DC86">
            <v>0</v>
          </cell>
          <cell r="DD86">
            <v>149403.41853264096</v>
          </cell>
          <cell r="DE86">
            <v>117783.58140212797</v>
          </cell>
          <cell r="DF86">
            <v>15410.113645547115</v>
          </cell>
          <cell r="DG86">
            <v>0</v>
          </cell>
          <cell r="DH86">
            <v>0</v>
          </cell>
          <cell r="DI86">
            <v>282597.11358031607</v>
          </cell>
          <cell r="DJ86">
            <v>0</v>
          </cell>
          <cell r="DK86">
            <v>10589.33</v>
          </cell>
          <cell r="DL86">
            <v>6853.44</v>
          </cell>
          <cell r="DM86">
            <v>70073.495851086889</v>
          </cell>
          <cell r="DN86">
            <v>0</v>
          </cell>
          <cell r="DO86">
            <v>0</v>
          </cell>
          <cell r="DP86">
            <v>0</v>
          </cell>
          <cell r="DQ86">
            <v>87516.265851086893</v>
          </cell>
          <cell r="DR86">
            <v>0</v>
          </cell>
          <cell r="DS86">
            <v>0</v>
          </cell>
          <cell r="DT86">
            <v>0</v>
          </cell>
          <cell r="DU86">
            <v>0</v>
          </cell>
          <cell r="DV86">
            <v>0</v>
          </cell>
          <cell r="DW86">
            <v>0</v>
          </cell>
          <cell r="DX86">
            <v>0</v>
          </cell>
          <cell r="DY86">
            <v>13724.925658084418</v>
          </cell>
          <cell r="DZ86">
            <v>0</v>
          </cell>
          <cell r="EA86">
            <v>0</v>
          </cell>
          <cell r="EB86">
            <v>13724.925658084418</v>
          </cell>
          <cell r="EE86">
            <v>0</v>
          </cell>
          <cell r="EH86">
            <v>0</v>
          </cell>
          <cell r="EI86">
            <v>0</v>
          </cell>
          <cell r="EK86">
            <v>0</v>
          </cell>
          <cell r="EL86">
            <v>3879</v>
          </cell>
          <cell r="EM86">
            <v>0</v>
          </cell>
          <cell r="EO86">
            <v>3879</v>
          </cell>
          <cell r="EP86">
            <v>14802.588125592563</v>
          </cell>
          <cell r="EQ86">
            <v>74313.746958349104</v>
          </cell>
          <cell r="ER86">
            <v>1264175.2258308665</v>
          </cell>
          <cell r="ET86">
            <v>282.43157894736839</v>
          </cell>
          <cell r="EU86">
            <v>4476.0406415687949</v>
          </cell>
          <cell r="EV86" t="str">
            <v>No Variation Applied</v>
          </cell>
          <cell r="EW86">
            <v>72600</v>
          </cell>
          <cell r="EX86">
            <v>0</v>
          </cell>
          <cell r="EY86">
            <v>0</v>
          </cell>
          <cell r="EZ86">
            <v>248446.06062992013</v>
          </cell>
        </row>
        <row r="87">
          <cell r="C87" t="str">
            <v>Lawn Primary School</v>
          </cell>
          <cell r="D87">
            <v>2522</v>
          </cell>
          <cell r="F87" t="str">
            <v/>
          </cell>
          <cell r="G87">
            <v>0</v>
          </cell>
          <cell r="H87">
            <v>0</v>
          </cell>
          <cell r="I87">
            <v>0</v>
          </cell>
          <cell r="J87">
            <v>0</v>
          </cell>
          <cell r="L87">
            <v>0</v>
          </cell>
          <cell r="M87">
            <v>0</v>
          </cell>
          <cell r="N87">
            <v>0</v>
          </cell>
          <cell r="S87">
            <v>0</v>
          </cell>
          <cell r="T87">
            <v>0</v>
          </cell>
          <cell r="U87">
            <v>58</v>
          </cell>
          <cell r="Y87">
            <v>58</v>
          </cell>
          <cell r="Z87">
            <v>52</v>
          </cell>
          <cell r="AA87">
            <v>60</v>
          </cell>
          <cell r="AB87">
            <v>61</v>
          </cell>
          <cell r="AC87">
            <v>54</v>
          </cell>
          <cell r="AD87">
            <v>62</v>
          </cell>
          <cell r="AK87">
            <v>1047054.3018236394</v>
          </cell>
          <cell r="AL87">
            <v>405</v>
          </cell>
          <cell r="BS87">
            <v>0</v>
          </cell>
          <cell r="BT87">
            <v>0</v>
          </cell>
          <cell r="BU87">
            <v>0</v>
          </cell>
          <cell r="BV87">
            <v>0</v>
          </cell>
          <cell r="BW87">
            <v>0</v>
          </cell>
          <cell r="BX87">
            <v>0</v>
          </cell>
          <cell r="BY87">
            <v>0</v>
          </cell>
          <cell r="BZ87">
            <v>0</v>
          </cell>
          <cell r="CA87">
            <v>0</v>
          </cell>
          <cell r="CB87">
            <v>0</v>
          </cell>
          <cell r="CC87">
            <v>0</v>
          </cell>
          <cell r="CD87">
            <v>0</v>
          </cell>
          <cell r="CE87">
            <v>0</v>
          </cell>
          <cell r="CF87">
            <v>22680.611130037629</v>
          </cell>
          <cell r="CI87">
            <v>0</v>
          </cell>
          <cell r="CJ87">
            <v>0</v>
          </cell>
          <cell r="CK87">
            <v>8220.2800000000007</v>
          </cell>
          <cell r="CL87">
            <v>0</v>
          </cell>
          <cell r="CM87">
            <v>30900.891130037628</v>
          </cell>
          <cell r="CQ87">
            <v>1523.4619188921858</v>
          </cell>
          <cell r="CR87">
            <v>3215.54</v>
          </cell>
          <cell r="CS87">
            <v>4445.8757233276974</v>
          </cell>
          <cell r="CT87">
            <v>9184.8776422198825</v>
          </cell>
          <cell r="CU87">
            <v>0</v>
          </cell>
          <cell r="CV87">
            <v>0</v>
          </cell>
          <cell r="CW87">
            <v>0</v>
          </cell>
          <cell r="CX87">
            <v>0</v>
          </cell>
          <cell r="CZ87">
            <v>0</v>
          </cell>
          <cell r="DC87">
            <v>0</v>
          </cell>
          <cell r="DD87">
            <v>22577.892979318261</v>
          </cell>
          <cell r="DE87">
            <v>18645.277364815625</v>
          </cell>
          <cell r="DF87">
            <v>2568.3522742578525</v>
          </cell>
          <cell r="DG87">
            <v>0</v>
          </cell>
          <cell r="DH87">
            <v>0</v>
          </cell>
          <cell r="DI87">
            <v>43791.52261839174</v>
          </cell>
          <cell r="DJ87">
            <v>0</v>
          </cell>
          <cell r="DK87">
            <v>16488</v>
          </cell>
          <cell r="DL87">
            <v>6802.68</v>
          </cell>
          <cell r="DM87">
            <v>70073.495851086889</v>
          </cell>
          <cell r="DN87">
            <v>0</v>
          </cell>
          <cell r="DO87">
            <v>0</v>
          </cell>
          <cell r="DP87">
            <v>0</v>
          </cell>
          <cell r="DQ87">
            <v>93364.175851086882</v>
          </cell>
          <cell r="DR87">
            <v>0</v>
          </cell>
          <cell r="DS87">
            <v>0</v>
          </cell>
          <cell r="DT87">
            <v>0</v>
          </cell>
          <cell r="DU87">
            <v>0</v>
          </cell>
          <cell r="DV87">
            <v>0</v>
          </cell>
          <cell r="DW87">
            <v>0</v>
          </cell>
          <cell r="DX87">
            <v>0</v>
          </cell>
          <cell r="DY87">
            <v>5228.5431078416832</v>
          </cell>
          <cell r="DZ87">
            <v>0</v>
          </cell>
          <cell r="EA87">
            <v>0</v>
          </cell>
          <cell r="EB87">
            <v>5228.5431078416832</v>
          </cell>
          <cell r="EE87">
            <v>0</v>
          </cell>
          <cell r="EH87">
            <v>0</v>
          </cell>
          <cell r="EI87">
            <v>0</v>
          </cell>
          <cell r="EK87">
            <v>0</v>
          </cell>
          <cell r="EL87">
            <v>0</v>
          </cell>
          <cell r="EM87">
            <v>0</v>
          </cell>
          <cell r="EO87">
            <v>0</v>
          </cell>
          <cell r="EP87">
            <v>0</v>
          </cell>
          <cell r="EQ87">
            <v>0</v>
          </cell>
          <cell r="ER87">
            <v>1229524.3121732173</v>
          </cell>
          <cell r="ET87">
            <v>405</v>
          </cell>
          <cell r="EU87">
            <v>3035.8624991931292</v>
          </cell>
          <cell r="EV87" t="str">
            <v>No Variation Applied</v>
          </cell>
          <cell r="EW87">
            <v>17900</v>
          </cell>
          <cell r="EX87">
            <v>0</v>
          </cell>
          <cell r="EY87">
            <v>0</v>
          </cell>
          <cell r="EZ87">
            <v>52101.07437145619</v>
          </cell>
        </row>
        <row r="88">
          <cell r="C88" t="str">
            <v>Derwent Community School</v>
          </cell>
          <cell r="D88">
            <v>2619</v>
          </cell>
          <cell r="F88" t="str">
            <v/>
          </cell>
          <cell r="G88">
            <v>0</v>
          </cell>
          <cell r="H88">
            <v>20520</v>
          </cell>
          <cell r="I88">
            <v>0</v>
          </cell>
          <cell r="J88">
            <v>0</v>
          </cell>
          <cell r="L88">
            <v>71746.769074476062</v>
          </cell>
          <cell r="M88">
            <v>20520</v>
          </cell>
          <cell r="N88">
            <v>21.6</v>
          </cell>
          <cell r="S88">
            <v>0</v>
          </cell>
          <cell r="T88">
            <v>0</v>
          </cell>
          <cell r="U88">
            <v>30</v>
          </cell>
          <cell r="Y88">
            <v>25</v>
          </cell>
          <cell r="Z88">
            <v>27</v>
          </cell>
          <cell r="AA88">
            <v>28</v>
          </cell>
          <cell r="AB88">
            <v>27</v>
          </cell>
          <cell r="AC88">
            <v>22</v>
          </cell>
          <cell r="AD88">
            <v>22</v>
          </cell>
          <cell r="AK88">
            <v>468981.53098626423</v>
          </cell>
          <cell r="AL88">
            <v>181</v>
          </cell>
          <cell r="BS88">
            <v>9516.2639999999992</v>
          </cell>
          <cell r="BT88">
            <v>0</v>
          </cell>
          <cell r="BU88">
            <v>116.05200000000001</v>
          </cell>
          <cell r="BV88">
            <v>0</v>
          </cell>
          <cell r="BW88">
            <v>0</v>
          </cell>
          <cell r="BX88">
            <v>-3039.4257999999973</v>
          </cell>
          <cell r="BY88">
            <v>0</v>
          </cell>
          <cell r="BZ88">
            <v>3011.5493999999999</v>
          </cell>
          <cell r="CA88">
            <v>0</v>
          </cell>
          <cell r="CB88">
            <v>0</v>
          </cell>
          <cell r="CC88">
            <v>0</v>
          </cell>
          <cell r="CD88">
            <v>0</v>
          </cell>
          <cell r="CE88">
            <v>9604.4396000000015</v>
          </cell>
          <cell r="CF88">
            <v>11340.305565018814</v>
          </cell>
          <cell r="CI88">
            <v>0</v>
          </cell>
          <cell r="CJ88">
            <v>0</v>
          </cell>
          <cell r="CK88">
            <v>3673.76</v>
          </cell>
          <cell r="CL88">
            <v>1027.2840544245462</v>
          </cell>
          <cell r="CM88">
            <v>16041.349619443361</v>
          </cell>
          <cell r="CQ88">
            <v>6093.8476755687434</v>
          </cell>
          <cell r="CR88">
            <v>3818.46</v>
          </cell>
          <cell r="CS88">
            <v>1212.5115609075538</v>
          </cell>
          <cell r="CT88">
            <v>11124.819236476298</v>
          </cell>
          <cell r="CU88">
            <v>2502.698959183982</v>
          </cell>
          <cell r="CV88">
            <v>0</v>
          </cell>
          <cell r="CW88">
            <v>2502.698959183982</v>
          </cell>
          <cell r="CX88">
            <v>0</v>
          </cell>
          <cell r="CZ88">
            <v>0</v>
          </cell>
          <cell r="DC88">
            <v>0</v>
          </cell>
          <cell r="DD88">
            <v>146881.65517570861</v>
          </cell>
          <cell r="DE88">
            <v>105277.60268182481</v>
          </cell>
          <cell r="DF88">
            <v>7705.0568227735575</v>
          </cell>
          <cell r="DG88">
            <v>0</v>
          </cell>
          <cell r="DH88">
            <v>0</v>
          </cell>
          <cell r="DI88">
            <v>259864.31468030697</v>
          </cell>
          <cell r="DJ88">
            <v>0</v>
          </cell>
          <cell r="DK88">
            <v>26106</v>
          </cell>
          <cell r="DL88">
            <v>4324.1400000000003</v>
          </cell>
          <cell r="DM88">
            <v>70073.495851086889</v>
          </cell>
          <cell r="DN88">
            <v>0</v>
          </cell>
          <cell r="DO88">
            <v>0</v>
          </cell>
          <cell r="DP88">
            <v>0</v>
          </cell>
          <cell r="DQ88">
            <v>100503.63585108689</v>
          </cell>
          <cell r="DR88">
            <v>0</v>
          </cell>
          <cell r="DS88">
            <v>0</v>
          </cell>
          <cell r="DT88">
            <v>0</v>
          </cell>
          <cell r="DU88">
            <v>0</v>
          </cell>
          <cell r="DV88">
            <v>0</v>
          </cell>
          <cell r="DW88">
            <v>0</v>
          </cell>
          <cell r="DX88">
            <v>0</v>
          </cell>
          <cell r="DY88">
            <v>6208.8949405619987</v>
          </cell>
          <cell r="DZ88">
            <v>0</v>
          </cell>
          <cell r="EA88">
            <v>0</v>
          </cell>
          <cell r="EB88">
            <v>6208.8949405619987</v>
          </cell>
          <cell r="EE88">
            <v>0</v>
          </cell>
          <cell r="EH88">
            <v>0</v>
          </cell>
          <cell r="EI88">
            <v>10885.09204</v>
          </cell>
          <cell r="EK88">
            <v>0</v>
          </cell>
          <cell r="EL88">
            <v>5256</v>
          </cell>
          <cell r="EM88">
            <v>0</v>
          </cell>
          <cell r="EO88">
            <v>16141.09204</v>
          </cell>
          <cell r="EP88">
            <v>0</v>
          </cell>
          <cell r="EQ88">
            <v>81351.20867447606</v>
          </cell>
          <cell r="ER88">
            <v>962719.54498779995</v>
          </cell>
          <cell r="ET88">
            <v>202.6</v>
          </cell>
          <cell r="EU88">
            <v>4751.8240127729514</v>
          </cell>
          <cell r="EV88" t="str">
            <v>No Variation Applied</v>
          </cell>
          <cell r="EW88">
            <v>75250</v>
          </cell>
          <cell r="EX88">
            <v>0</v>
          </cell>
          <cell r="EY88">
            <v>0</v>
          </cell>
          <cell r="EZ88">
            <v>183930.0629256425</v>
          </cell>
        </row>
        <row r="89">
          <cell r="C89" t="str">
            <v>Mickleover Primary School</v>
          </cell>
          <cell r="D89">
            <v>2627</v>
          </cell>
          <cell r="F89" t="str">
            <v/>
          </cell>
          <cell r="G89">
            <v>0</v>
          </cell>
          <cell r="H89">
            <v>0</v>
          </cell>
          <cell r="I89">
            <v>0</v>
          </cell>
          <cell r="J89">
            <v>0</v>
          </cell>
          <cell r="L89">
            <v>0</v>
          </cell>
          <cell r="M89">
            <v>0</v>
          </cell>
          <cell r="N89">
            <v>0</v>
          </cell>
          <cell r="S89">
            <v>0</v>
          </cell>
          <cell r="T89">
            <v>0</v>
          </cell>
          <cell r="U89">
            <v>60</v>
          </cell>
          <cell r="Y89">
            <v>55</v>
          </cell>
          <cell r="Z89">
            <v>55</v>
          </cell>
          <cell r="AA89">
            <v>55</v>
          </cell>
          <cell r="AB89">
            <v>57</v>
          </cell>
          <cell r="AC89">
            <v>53</v>
          </cell>
          <cell r="AD89">
            <v>54</v>
          </cell>
          <cell r="AK89">
            <v>1006620.404662634</v>
          </cell>
          <cell r="AL89">
            <v>389</v>
          </cell>
          <cell r="BS89">
            <v>0</v>
          </cell>
          <cell r="BT89">
            <v>0</v>
          </cell>
          <cell r="BU89">
            <v>0</v>
          </cell>
          <cell r="BV89">
            <v>0</v>
          </cell>
          <cell r="BW89">
            <v>0</v>
          </cell>
          <cell r="BX89">
            <v>0</v>
          </cell>
          <cell r="BY89">
            <v>0</v>
          </cell>
          <cell r="BZ89">
            <v>0</v>
          </cell>
          <cell r="CA89">
            <v>0</v>
          </cell>
          <cell r="CB89">
            <v>0</v>
          </cell>
          <cell r="CC89">
            <v>0</v>
          </cell>
          <cell r="CD89">
            <v>0</v>
          </cell>
          <cell r="CE89">
            <v>0</v>
          </cell>
          <cell r="CF89">
            <v>22680.611130037629</v>
          </cell>
          <cell r="CI89">
            <v>0</v>
          </cell>
          <cell r="CJ89">
            <v>0</v>
          </cell>
          <cell r="CK89">
            <v>7895.53</v>
          </cell>
          <cell r="CL89">
            <v>5386.5081505406924</v>
          </cell>
          <cell r="CM89">
            <v>35962.64928057832</v>
          </cell>
          <cell r="CQ89">
            <v>6855.5786350148364</v>
          </cell>
          <cell r="CR89">
            <v>9043.7099999999991</v>
          </cell>
          <cell r="CS89">
            <v>4850.046243630215</v>
          </cell>
          <cell r="CT89">
            <v>20749.334878645052</v>
          </cell>
          <cell r="CU89">
            <v>3003.2387510207782</v>
          </cell>
          <cell r="CV89">
            <v>9009.7162530623336</v>
          </cell>
          <cell r="CW89">
            <v>12012.955004083113</v>
          </cell>
          <cell r="CX89">
            <v>0</v>
          </cell>
          <cell r="CZ89">
            <v>0</v>
          </cell>
          <cell r="DC89">
            <v>0</v>
          </cell>
          <cell r="DD89">
            <v>23801.906772449169</v>
          </cell>
          <cell r="DE89">
            <v>19100.040227372101</v>
          </cell>
          <cell r="DF89">
            <v>2568.3522742578525</v>
          </cell>
          <cell r="DG89">
            <v>0</v>
          </cell>
          <cell r="DH89">
            <v>0</v>
          </cell>
          <cell r="DI89">
            <v>45470.299274079123</v>
          </cell>
          <cell r="DJ89">
            <v>0</v>
          </cell>
          <cell r="DK89">
            <v>19236</v>
          </cell>
          <cell r="DL89">
            <v>5561.39</v>
          </cell>
          <cell r="DM89">
            <v>70073.495851086889</v>
          </cell>
          <cell r="DN89">
            <v>0</v>
          </cell>
          <cell r="DO89">
            <v>0</v>
          </cell>
          <cell r="DP89">
            <v>0</v>
          </cell>
          <cell r="DQ89">
            <v>94870.885851086889</v>
          </cell>
          <cell r="DR89">
            <v>0</v>
          </cell>
          <cell r="DS89">
            <v>0</v>
          </cell>
          <cell r="DT89">
            <v>0</v>
          </cell>
          <cell r="DU89">
            <v>0</v>
          </cell>
          <cell r="DV89">
            <v>0</v>
          </cell>
          <cell r="DW89">
            <v>0</v>
          </cell>
          <cell r="DX89">
            <v>0</v>
          </cell>
          <cell r="DY89">
            <v>6535.6788848021042</v>
          </cell>
          <cell r="DZ89">
            <v>0</v>
          </cell>
          <cell r="EA89">
            <v>0</v>
          </cell>
          <cell r="EB89">
            <v>6535.6788848021042</v>
          </cell>
          <cell r="EE89">
            <v>0</v>
          </cell>
          <cell r="EH89">
            <v>0</v>
          </cell>
          <cell r="EI89">
            <v>0</v>
          </cell>
          <cell r="EK89">
            <v>0</v>
          </cell>
          <cell r="EL89">
            <v>626</v>
          </cell>
          <cell r="EM89">
            <v>0</v>
          </cell>
          <cell r="EO89">
            <v>626</v>
          </cell>
          <cell r="EP89">
            <v>0</v>
          </cell>
          <cell r="EQ89">
            <v>0</v>
          </cell>
          <cell r="ER89">
            <v>1222848.2078359087</v>
          </cell>
          <cell r="ET89">
            <v>389</v>
          </cell>
          <cell r="EU89">
            <v>3143.568657675858</v>
          </cell>
          <cell r="EV89" t="str">
            <v>No Variation Applied</v>
          </cell>
          <cell r="EW89">
            <v>16800</v>
          </cell>
          <cell r="EX89">
            <v>0</v>
          </cell>
          <cell r="EY89">
            <v>0</v>
          </cell>
          <cell r="EZ89">
            <v>77134.363080374664</v>
          </cell>
        </row>
        <row r="90">
          <cell r="C90" t="str">
            <v>Arboretum Primary School</v>
          </cell>
          <cell r="D90">
            <v>2629</v>
          </cell>
          <cell r="F90" t="str">
            <v/>
          </cell>
          <cell r="G90">
            <v>0</v>
          </cell>
          <cell r="H90">
            <v>40500</v>
          </cell>
          <cell r="I90">
            <v>0</v>
          </cell>
          <cell r="J90">
            <v>0</v>
          </cell>
          <cell r="L90">
            <v>141605.46527857118</v>
          </cell>
          <cell r="M90">
            <v>40500</v>
          </cell>
          <cell r="N90">
            <v>42.631578947368418</v>
          </cell>
          <cell r="S90">
            <v>0</v>
          </cell>
          <cell r="T90">
            <v>0</v>
          </cell>
          <cell r="U90">
            <v>45</v>
          </cell>
          <cell r="Y90">
            <v>44</v>
          </cell>
          <cell r="Z90">
            <v>44</v>
          </cell>
          <cell r="AA90">
            <v>44</v>
          </cell>
          <cell r="AB90">
            <v>45</v>
          </cell>
          <cell r="AC90">
            <v>45</v>
          </cell>
          <cell r="AD90">
            <v>42</v>
          </cell>
          <cell r="AK90">
            <v>798631.42749684514</v>
          </cell>
          <cell r="AL90">
            <v>309</v>
          </cell>
          <cell r="BS90">
            <v>26227.752000000004</v>
          </cell>
          <cell r="BT90">
            <v>0</v>
          </cell>
          <cell r="BU90">
            <v>6614.9639999999999</v>
          </cell>
          <cell r="BV90">
            <v>0</v>
          </cell>
          <cell r="BW90">
            <v>0</v>
          </cell>
          <cell r="BX90">
            <v>-3244.5777999999991</v>
          </cell>
          <cell r="BY90">
            <v>0</v>
          </cell>
          <cell r="BZ90">
            <v>3011.5493999999999</v>
          </cell>
          <cell r="CA90">
            <v>0</v>
          </cell>
          <cell r="CB90">
            <v>0</v>
          </cell>
          <cell r="CC90">
            <v>0</v>
          </cell>
          <cell r="CD90">
            <v>0</v>
          </cell>
          <cell r="CE90">
            <v>32609.687600000001</v>
          </cell>
          <cell r="CF90">
            <v>22680.611130037629</v>
          </cell>
          <cell r="CI90">
            <v>0</v>
          </cell>
          <cell r="CJ90">
            <v>0</v>
          </cell>
          <cell r="CK90">
            <v>6271.77</v>
          </cell>
          <cell r="CL90">
            <v>2177.6882951471657</v>
          </cell>
          <cell r="CM90">
            <v>31130.069425184796</v>
          </cell>
          <cell r="CQ90">
            <v>15234.619188921859</v>
          </cell>
          <cell r="CR90">
            <v>50845.77</v>
          </cell>
          <cell r="CS90">
            <v>54967.190761142439</v>
          </cell>
          <cell r="CT90">
            <v>121047.57995006429</v>
          </cell>
          <cell r="CU90">
            <v>0</v>
          </cell>
          <cell r="CV90">
            <v>0</v>
          </cell>
          <cell r="CW90">
            <v>0</v>
          </cell>
          <cell r="CX90">
            <v>146920.57861599582</v>
          </cell>
          <cell r="CZ90">
            <v>146920.57861599582</v>
          </cell>
          <cell r="DC90">
            <v>0</v>
          </cell>
          <cell r="DD90">
            <v>138490.52447340157</v>
          </cell>
          <cell r="DE90">
            <v>200323.04095612885</v>
          </cell>
          <cell r="DF90">
            <v>7705.0568227735575</v>
          </cell>
          <cell r="DG90">
            <v>0</v>
          </cell>
          <cell r="DH90">
            <v>0</v>
          </cell>
          <cell r="DI90">
            <v>346518.62225230399</v>
          </cell>
          <cell r="DJ90">
            <v>0</v>
          </cell>
          <cell r="DK90">
            <v>25877</v>
          </cell>
          <cell r="DL90">
            <v>5534.35</v>
          </cell>
          <cell r="DM90">
            <v>70073.495851086889</v>
          </cell>
          <cell r="DN90">
            <v>0</v>
          </cell>
          <cell r="DO90">
            <v>0</v>
          </cell>
          <cell r="DP90">
            <v>0</v>
          </cell>
          <cell r="DQ90">
            <v>101484.84585108689</v>
          </cell>
          <cell r="DR90">
            <v>0</v>
          </cell>
          <cell r="DS90">
            <v>0</v>
          </cell>
          <cell r="DT90">
            <v>0</v>
          </cell>
          <cell r="DU90">
            <v>0</v>
          </cell>
          <cell r="DV90">
            <v>0</v>
          </cell>
          <cell r="DW90">
            <v>0</v>
          </cell>
          <cell r="DX90">
            <v>0</v>
          </cell>
          <cell r="DY90">
            <v>8169.5986060026298</v>
          </cell>
          <cell r="DZ90">
            <v>0</v>
          </cell>
          <cell r="EA90">
            <v>0</v>
          </cell>
          <cell r="EB90">
            <v>8169.5986060026298</v>
          </cell>
          <cell r="EE90">
            <v>0</v>
          </cell>
          <cell r="EH90">
            <v>0</v>
          </cell>
          <cell r="EI90">
            <v>0</v>
          </cell>
          <cell r="EK90">
            <v>0</v>
          </cell>
          <cell r="EL90">
            <v>0</v>
          </cell>
          <cell r="EM90">
            <v>0</v>
          </cell>
          <cell r="EO90">
            <v>0</v>
          </cell>
          <cell r="EP90">
            <v>37135.745870695217</v>
          </cell>
          <cell r="EQ90">
            <v>174215.15287857119</v>
          </cell>
          <cell r="ER90">
            <v>1765253.6209467498</v>
          </cell>
          <cell r="ET90">
            <v>351.63157894736844</v>
          </cell>
          <cell r="EU90">
            <v>5020.1794339153184</v>
          </cell>
          <cell r="EV90" t="str">
            <v>No Variation Applied</v>
          </cell>
          <cell r="EW90">
            <v>66600</v>
          </cell>
          <cell r="EX90">
            <v>0</v>
          </cell>
          <cell r="EY90">
            <v>0</v>
          </cell>
          <cell r="EZ90">
            <v>389953.32970996998</v>
          </cell>
        </row>
        <row r="91">
          <cell r="C91" t="str">
            <v>Derby St Chad's CofE (VC) Nursery and Infant School</v>
          </cell>
          <cell r="D91">
            <v>3158</v>
          </cell>
          <cell r="F91" t="str">
            <v/>
          </cell>
          <cell r="G91">
            <v>0</v>
          </cell>
          <cell r="H91">
            <v>32670</v>
          </cell>
          <cell r="I91">
            <v>0</v>
          </cell>
          <cell r="J91">
            <v>0</v>
          </cell>
          <cell r="L91">
            <v>114228.40865804742</v>
          </cell>
          <cell r="M91">
            <v>32670</v>
          </cell>
          <cell r="N91">
            <v>34.389473684210529</v>
          </cell>
          <cell r="S91">
            <v>0</v>
          </cell>
          <cell r="T91">
            <v>0</v>
          </cell>
          <cell r="U91">
            <v>40</v>
          </cell>
          <cell r="Y91">
            <v>41</v>
          </cell>
          <cell r="Z91">
            <v>38</v>
          </cell>
          <cell r="AA91">
            <v>0</v>
          </cell>
          <cell r="AB91">
            <v>0</v>
          </cell>
          <cell r="AC91">
            <v>0</v>
          </cell>
          <cell r="AD91">
            <v>0</v>
          </cell>
          <cell r="AK91">
            <v>309847.21345507959</v>
          </cell>
          <cell r="AL91">
            <v>119</v>
          </cell>
          <cell r="BS91">
            <v>21121.464</v>
          </cell>
          <cell r="BT91">
            <v>0</v>
          </cell>
          <cell r="BU91">
            <v>5918.652</v>
          </cell>
          <cell r="BV91">
            <v>0</v>
          </cell>
          <cell r="BW91">
            <v>0</v>
          </cell>
          <cell r="BX91">
            <v>4676.6003999999957</v>
          </cell>
          <cell r="BY91">
            <v>0</v>
          </cell>
          <cell r="BZ91">
            <v>3011.5493999999999</v>
          </cell>
          <cell r="CA91">
            <v>0</v>
          </cell>
          <cell r="CB91">
            <v>0</v>
          </cell>
          <cell r="CC91">
            <v>0</v>
          </cell>
          <cell r="CD91">
            <v>0</v>
          </cell>
          <cell r="CE91">
            <v>34728.265799999994</v>
          </cell>
          <cell r="CF91">
            <v>22680.611130037629</v>
          </cell>
          <cell r="CI91">
            <v>0</v>
          </cell>
          <cell r="CJ91">
            <v>0</v>
          </cell>
          <cell r="CK91">
            <v>2415.34</v>
          </cell>
          <cell r="CL91">
            <v>788.73869347202992</v>
          </cell>
          <cell r="CM91">
            <v>25884.68982350966</v>
          </cell>
          <cell r="CQ91">
            <v>9140.7715133531146</v>
          </cell>
          <cell r="CR91">
            <v>19293.259999999998</v>
          </cell>
          <cell r="CS91">
            <v>16773.076592554495</v>
          </cell>
          <cell r="CT91">
            <v>45207.10810590761</v>
          </cell>
          <cell r="CU91">
            <v>2502.698959183982</v>
          </cell>
          <cell r="CV91">
            <v>0</v>
          </cell>
          <cell r="CW91">
            <v>2502.698959183982</v>
          </cell>
          <cell r="CX91">
            <v>0</v>
          </cell>
          <cell r="CZ91">
            <v>0</v>
          </cell>
          <cell r="DC91">
            <v>0</v>
          </cell>
          <cell r="DD91">
            <v>45185.280266904738</v>
          </cell>
          <cell r="DE91">
            <v>75718.016615653687</v>
          </cell>
          <cell r="DF91">
            <v>856.11742475261747</v>
          </cell>
          <cell r="DG91">
            <v>0</v>
          </cell>
          <cell r="DH91">
            <v>0</v>
          </cell>
          <cell r="DI91">
            <v>121759.41430731105</v>
          </cell>
          <cell r="DJ91">
            <v>0</v>
          </cell>
          <cell r="DK91">
            <v>1359.48</v>
          </cell>
          <cell r="DL91">
            <v>2248.44</v>
          </cell>
          <cell r="DM91">
            <v>74722.185859261808</v>
          </cell>
          <cell r="DN91">
            <v>0</v>
          </cell>
          <cell r="DO91">
            <v>0</v>
          </cell>
          <cell r="DP91">
            <v>0</v>
          </cell>
          <cell r="DQ91">
            <v>78330.105859261806</v>
          </cell>
          <cell r="DR91">
            <v>0</v>
          </cell>
          <cell r="DS91">
            <v>0</v>
          </cell>
          <cell r="DT91">
            <v>0</v>
          </cell>
          <cell r="DU91">
            <v>0</v>
          </cell>
          <cell r="DV91">
            <v>0</v>
          </cell>
          <cell r="DW91">
            <v>0</v>
          </cell>
          <cell r="DX91">
            <v>0</v>
          </cell>
          <cell r="DY91">
            <v>3267.8394424010521</v>
          </cell>
          <cell r="DZ91">
            <v>0</v>
          </cell>
          <cell r="EA91">
            <v>1866.5219672743483</v>
          </cell>
          <cell r="EB91">
            <v>5134.3614096754009</v>
          </cell>
          <cell r="EE91">
            <v>0</v>
          </cell>
          <cell r="EH91">
            <v>0</v>
          </cell>
          <cell r="EI91">
            <v>0</v>
          </cell>
          <cell r="EK91">
            <v>0</v>
          </cell>
          <cell r="EL91">
            <v>1502</v>
          </cell>
          <cell r="EM91">
            <v>0</v>
          </cell>
          <cell r="EO91">
            <v>1502</v>
          </cell>
          <cell r="EP91">
            <v>16415.275421207887</v>
          </cell>
          <cell r="EQ91">
            <v>148956.67445804743</v>
          </cell>
          <cell r="ER91">
            <v>755539.54179918452</v>
          </cell>
          <cell r="ET91">
            <v>153.38947368421054</v>
          </cell>
          <cell r="EU91">
            <v>4925.6283606177958</v>
          </cell>
          <cell r="EV91" t="str">
            <v>No Variation Applied</v>
          </cell>
          <cell r="EW91">
            <v>23400</v>
          </cell>
          <cell r="EX91">
            <v>0</v>
          </cell>
          <cell r="EY91">
            <v>0</v>
          </cell>
          <cell r="EZ91">
            <v>94167.494455598964</v>
          </cell>
        </row>
        <row r="92">
          <cell r="C92" t="str">
            <v>Bishop Lonsdale Church of England Aided Primary School and Nursery</v>
          </cell>
          <cell r="D92">
            <v>3525</v>
          </cell>
          <cell r="F92" t="str">
            <v/>
          </cell>
          <cell r="G92">
            <v>0</v>
          </cell>
          <cell r="H92">
            <v>26214</v>
          </cell>
          <cell r="I92">
            <v>0</v>
          </cell>
          <cell r="J92">
            <v>0</v>
          </cell>
          <cell r="L92">
            <v>91655.448563270736</v>
          </cell>
          <cell r="M92">
            <v>26214</v>
          </cell>
          <cell r="N92">
            <v>27.593684210526316</v>
          </cell>
          <cell r="S92">
            <v>0</v>
          </cell>
          <cell r="T92">
            <v>0</v>
          </cell>
          <cell r="U92">
            <v>30</v>
          </cell>
          <cell r="Y92">
            <v>29</v>
          </cell>
          <cell r="Z92">
            <v>30</v>
          </cell>
          <cell r="AA92">
            <v>29</v>
          </cell>
          <cell r="AB92">
            <v>29</v>
          </cell>
          <cell r="AC92">
            <v>28</v>
          </cell>
          <cell r="AD92">
            <v>27</v>
          </cell>
          <cell r="AK92">
            <v>522104.0812722363</v>
          </cell>
          <cell r="AL92">
            <v>202</v>
          </cell>
          <cell r="BS92">
            <v>5013.4464000000007</v>
          </cell>
          <cell r="BT92">
            <v>0</v>
          </cell>
          <cell r="BU92">
            <v>417.78720000000004</v>
          </cell>
          <cell r="BV92">
            <v>0</v>
          </cell>
          <cell r="BW92">
            <v>0</v>
          </cell>
          <cell r="BX92">
            <v>-2174.6742000000086</v>
          </cell>
          <cell r="BY92">
            <v>0</v>
          </cell>
          <cell r="BZ92">
            <v>1003.8498</v>
          </cell>
          <cell r="CA92">
            <v>0</v>
          </cell>
          <cell r="CB92">
            <v>0</v>
          </cell>
          <cell r="CC92">
            <v>0</v>
          </cell>
          <cell r="CD92">
            <v>0</v>
          </cell>
          <cell r="CE92">
            <v>4260.4091999999919</v>
          </cell>
          <cell r="CF92">
            <v>11340.305565018814</v>
          </cell>
          <cell r="CI92">
            <v>0</v>
          </cell>
          <cell r="CJ92">
            <v>0</v>
          </cell>
          <cell r="CK92">
            <v>4099.99</v>
          </cell>
          <cell r="CL92">
            <v>2535.5063365759402</v>
          </cell>
          <cell r="CM92">
            <v>17975.801901594754</v>
          </cell>
          <cell r="CQ92">
            <v>6855.5786350148364</v>
          </cell>
          <cell r="CR92">
            <v>4823.3100000000004</v>
          </cell>
          <cell r="CS92">
            <v>11114.689308319244</v>
          </cell>
          <cell r="CT92">
            <v>22793.577943334079</v>
          </cell>
          <cell r="CU92">
            <v>14515.653963267096</v>
          </cell>
          <cell r="CV92">
            <v>0</v>
          </cell>
          <cell r="CW92">
            <v>14515.653963267096</v>
          </cell>
          <cell r="CX92">
            <v>0</v>
          </cell>
          <cell r="CZ92">
            <v>0</v>
          </cell>
          <cell r="DC92">
            <v>0</v>
          </cell>
          <cell r="DD92">
            <v>75092.508850874321</v>
          </cell>
          <cell r="DE92">
            <v>63666.800757907011</v>
          </cell>
          <cell r="DF92">
            <v>6848.9393980209397</v>
          </cell>
          <cell r="DG92">
            <v>0</v>
          </cell>
          <cell r="DH92">
            <v>0</v>
          </cell>
          <cell r="DI92">
            <v>145608.24900680227</v>
          </cell>
          <cell r="DJ92">
            <v>0</v>
          </cell>
          <cell r="DK92">
            <v>4946.3999999999996</v>
          </cell>
          <cell r="DL92">
            <v>1797.04</v>
          </cell>
          <cell r="DM92">
            <v>70073.495851086889</v>
          </cell>
          <cell r="DN92">
            <v>0</v>
          </cell>
          <cell r="DO92">
            <v>0</v>
          </cell>
          <cell r="DP92">
            <v>0</v>
          </cell>
          <cell r="DQ92">
            <v>76816.935851086891</v>
          </cell>
          <cell r="DR92">
            <v>0</v>
          </cell>
          <cell r="DS92">
            <v>0</v>
          </cell>
          <cell r="DT92">
            <v>0</v>
          </cell>
          <cell r="DU92">
            <v>0</v>
          </cell>
          <cell r="DV92">
            <v>0</v>
          </cell>
          <cell r="DW92">
            <v>0</v>
          </cell>
          <cell r="DX92">
            <v>0</v>
          </cell>
          <cell r="DY92">
            <v>5228.5431078416832</v>
          </cell>
          <cell r="DZ92">
            <v>697.62975539376976</v>
          </cell>
          <cell r="EA92">
            <v>0</v>
          </cell>
          <cell r="EB92">
            <v>5926.1728632354534</v>
          </cell>
          <cell r="EE92">
            <v>0</v>
          </cell>
          <cell r="EH92">
            <v>0</v>
          </cell>
          <cell r="EI92">
            <v>0</v>
          </cell>
          <cell r="EK92">
            <v>0</v>
          </cell>
          <cell r="EL92">
            <v>8259</v>
          </cell>
          <cell r="EM92">
            <v>0</v>
          </cell>
          <cell r="EO92">
            <v>8259</v>
          </cell>
          <cell r="EP92">
            <v>13347.972446721629</v>
          </cell>
          <cell r="EQ92">
            <v>95915.857763270731</v>
          </cell>
          <cell r="ER92">
            <v>923263.30301154929</v>
          </cell>
          <cell r="ET92">
            <v>229.59368421052631</v>
          </cell>
          <cell r="EU92">
            <v>4021.2922502038928</v>
          </cell>
          <cell r="EV92" t="str">
            <v>No Variation Applied</v>
          </cell>
          <cell r="EW92">
            <v>37800</v>
          </cell>
          <cell r="EX92">
            <v>0</v>
          </cell>
          <cell r="EY92">
            <v>0</v>
          </cell>
          <cell r="EZ92">
            <v>123258.8410449239</v>
          </cell>
        </row>
        <row r="93">
          <cell r="C93" t="str">
            <v>St James' Church of England Aided Infant School</v>
          </cell>
          <cell r="D93">
            <v>3526</v>
          </cell>
          <cell r="F93" t="str">
            <v/>
          </cell>
          <cell r="G93">
            <v>0</v>
          </cell>
          <cell r="H93">
            <v>20430</v>
          </cell>
          <cell r="I93">
            <v>0</v>
          </cell>
          <cell r="J93">
            <v>0</v>
          </cell>
          <cell r="L93">
            <v>71432.0902627459</v>
          </cell>
          <cell r="M93">
            <v>20430</v>
          </cell>
          <cell r="N93">
            <v>21.505263157894738</v>
          </cell>
          <cell r="S93">
            <v>0</v>
          </cell>
          <cell r="T93">
            <v>0</v>
          </cell>
          <cell r="U93">
            <v>28</v>
          </cell>
          <cell r="Y93">
            <v>30</v>
          </cell>
          <cell r="Z93">
            <v>30</v>
          </cell>
          <cell r="AA93">
            <v>0</v>
          </cell>
          <cell r="AB93">
            <v>0</v>
          </cell>
          <cell r="AC93">
            <v>0</v>
          </cell>
          <cell r="AD93">
            <v>0</v>
          </cell>
          <cell r="AK93">
            <v>228409.59805691283</v>
          </cell>
          <cell r="AL93">
            <v>88</v>
          </cell>
          <cell r="BS93">
            <v>11489.148000000001</v>
          </cell>
          <cell r="BT93">
            <v>0</v>
          </cell>
          <cell r="BU93">
            <v>2204.9880000000003</v>
          </cell>
          <cell r="BV93">
            <v>0</v>
          </cell>
          <cell r="BW93">
            <v>0</v>
          </cell>
          <cell r="BX93">
            <v>-16409.817800000004</v>
          </cell>
          <cell r="BY93">
            <v>0</v>
          </cell>
          <cell r="BZ93">
            <v>2007.6995999999999</v>
          </cell>
          <cell r="CA93">
            <v>0</v>
          </cell>
          <cell r="CB93">
            <v>0</v>
          </cell>
          <cell r="CC93">
            <v>0</v>
          </cell>
          <cell r="CD93">
            <v>0</v>
          </cell>
          <cell r="CE93">
            <v>-707.98220000000219</v>
          </cell>
          <cell r="CF93">
            <v>11340.305565018814</v>
          </cell>
          <cell r="CI93">
            <v>0</v>
          </cell>
          <cell r="CJ93">
            <v>1522.79</v>
          </cell>
          <cell r="CK93">
            <v>1786.14</v>
          </cell>
          <cell r="CL93">
            <v>977.26647874095408</v>
          </cell>
          <cell r="CM93">
            <v>15626.502043759769</v>
          </cell>
          <cell r="CQ93">
            <v>5332.1167161226504</v>
          </cell>
          <cell r="CR93">
            <v>9445.66</v>
          </cell>
          <cell r="CS93">
            <v>10508.433527865467</v>
          </cell>
          <cell r="CT93">
            <v>25286.21024398812</v>
          </cell>
          <cell r="CU93">
            <v>0</v>
          </cell>
          <cell r="CV93">
            <v>0</v>
          </cell>
          <cell r="CW93">
            <v>0</v>
          </cell>
          <cell r="CX93">
            <v>0</v>
          </cell>
          <cell r="CZ93">
            <v>0</v>
          </cell>
          <cell r="DC93">
            <v>0</v>
          </cell>
          <cell r="DD93">
            <v>37148.081263816268</v>
          </cell>
          <cell r="DE93">
            <v>58664.409269785741</v>
          </cell>
          <cell r="DF93">
            <v>1712.2348495052349</v>
          </cell>
          <cell r="DG93">
            <v>0</v>
          </cell>
          <cell r="DH93">
            <v>0</v>
          </cell>
          <cell r="DI93">
            <v>97524.725383107245</v>
          </cell>
          <cell r="DJ93">
            <v>2289.2399999999998</v>
          </cell>
          <cell r="DK93">
            <v>956.73</v>
          </cell>
          <cell r="DL93">
            <v>1551.57</v>
          </cell>
          <cell r="DM93">
            <v>74722.185859261808</v>
          </cell>
          <cell r="DN93">
            <v>0</v>
          </cell>
          <cell r="DO93">
            <v>0</v>
          </cell>
          <cell r="DP93">
            <v>0</v>
          </cell>
          <cell r="DQ93">
            <v>79519.725859261802</v>
          </cell>
          <cell r="DR93">
            <v>0</v>
          </cell>
          <cell r="DS93">
            <v>0</v>
          </cell>
          <cell r="DT93">
            <v>0</v>
          </cell>
          <cell r="DU93">
            <v>0</v>
          </cell>
          <cell r="DV93">
            <v>0</v>
          </cell>
          <cell r="DW93">
            <v>0</v>
          </cell>
          <cell r="DX93">
            <v>0</v>
          </cell>
          <cell r="DY93">
            <v>2614.2715539208416</v>
          </cell>
          <cell r="DZ93">
            <v>303.91791324085017</v>
          </cell>
          <cell r="EA93">
            <v>14257.493434737313</v>
          </cell>
          <cell r="EB93">
            <v>17175.682901899003</v>
          </cell>
          <cell r="EE93">
            <v>0</v>
          </cell>
          <cell r="EH93">
            <v>0</v>
          </cell>
          <cell r="EI93">
            <v>0</v>
          </cell>
          <cell r="EK93">
            <v>0</v>
          </cell>
          <cell r="EL93">
            <v>0</v>
          </cell>
          <cell r="EM93">
            <v>0</v>
          </cell>
          <cell r="EO93">
            <v>0</v>
          </cell>
          <cell r="EP93">
            <v>0</v>
          </cell>
          <cell r="EQ93">
            <v>70724.108062745901</v>
          </cell>
          <cell r="ER93">
            <v>534266.55255167466</v>
          </cell>
          <cell r="ET93">
            <v>109.50526315789475</v>
          </cell>
          <cell r="EU93">
            <v>4878.912091935892</v>
          </cell>
          <cell r="EV93" t="str">
            <v>No Variation Applied</v>
          </cell>
          <cell r="EW93">
            <v>16800</v>
          </cell>
          <cell r="EX93">
            <v>0</v>
          </cell>
          <cell r="EY93">
            <v>0</v>
          </cell>
          <cell r="EZ93">
            <v>64156.116180947378</v>
          </cell>
        </row>
        <row r="94">
          <cell r="C94" t="str">
            <v>St Mary's Catholic Primary School and Nursery</v>
          </cell>
          <cell r="D94">
            <v>3528</v>
          </cell>
          <cell r="F94" t="str">
            <v/>
          </cell>
          <cell r="G94">
            <v>0</v>
          </cell>
          <cell r="H94">
            <v>23892</v>
          </cell>
          <cell r="I94">
            <v>0</v>
          </cell>
          <cell r="J94">
            <v>0</v>
          </cell>
          <cell r="L94">
            <v>83536.735220632661</v>
          </cell>
          <cell r="M94">
            <v>23892</v>
          </cell>
          <cell r="N94">
            <v>25.149473684210527</v>
          </cell>
          <cell r="S94">
            <v>0</v>
          </cell>
          <cell r="T94">
            <v>0</v>
          </cell>
          <cell r="U94">
            <v>42</v>
          </cell>
          <cell r="Y94">
            <v>45</v>
          </cell>
          <cell r="Z94">
            <v>47</v>
          </cell>
          <cell r="AA94">
            <v>50</v>
          </cell>
          <cell r="AB94">
            <v>46</v>
          </cell>
          <cell r="AC94">
            <v>43</v>
          </cell>
          <cell r="AD94">
            <v>51</v>
          </cell>
          <cell r="AK94">
            <v>835682.65055394033</v>
          </cell>
          <cell r="AL94">
            <v>324</v>
          </cell>
          <cell r="BS94">
            <v>4293.924</v>
          </cell>
          <cell r="BT94">
            <v>0</v>
          </cell>
          <cell r="BU94">
            <v>1253.3616000000002</v>
          </cell>
          <cell r="BV94">
            <v>0</v>
          </cell>
          <cell r="BW94">
            <v>0</v>
          </cell>
          <cell r="BX94">
            <v>12564.387999999999</v>
          </cell>
          <cell r="BY94">
            <v>0</v>
          </cell>
          <cell r="BZ94">
            <v>0</v>
          </cell>
          <cell r="CA94">
            <v>0</v>
          </cell>
          <cell r="CB94">
            <v>0</v>
          </cell>
          <cell r="CC94">
            <v>0</v>
          </cell>
          <cell r="CD94">
            <v>0</v>
          </cell>
          <cell r="CE94">
            <v>18111.673599999998</v>
          </cell>
          <cell r="CF94">
            <v>22680.611130037629</v>
          </cell>
          <cell r="CI94">
            <v>0</v>
          </cell>
          <cell r="CJ94">
            <v>0</v>
          </cell>
          <cell r="CK94">
            <v>6576.23</v>
          </cell>
          <cell r="CL94">
            <v>4844.0098296648084</v>
          </cell>
          <cell r="CM94">
            <v>34100.850959702439</v>
          </cell>
          <cell r="CQ94">
            <v>6093.8476755687434</v>
          </cell>
          <cell r="CR94">
            <v>14469.94</v>
          </cell>
          <cell r="CS94">
            <v>6870.8988451428049</v>
          </cell>
          <cell r="CT94">
            <v>27434.686520711548</v>
          </cell>
          <cell r="CU94">
            <v>2502.698959183982</v>
          </cell>
          <cell r="CV94">
            <v>0</v>
          </cell>
          <cell r="CW94">
            <v>2502.698959183982</v>
          </cell>
          <cell r="CX94">
            <v>0</v>
          </cell>
          <cell r="CZ94">
            <v>0</v>
          </cell>
          <cell r="DC94">
            <v>0</v>
          </cell>
          <cell r="DD94">
            <v>62262.484754200981</v>
          </cell>
          <cell r="DE94">
            <v>88451.376767235095</v>
          </cell>
          <cell r="DF94">
            <v>7705.0568227735575</v>
          </cell>
          <cell r="DG94">
            <v>0</v>
          </cell>
          <cell r="DH94">
            <v>0</v>
          </cell>
          <cell r="DI94">
            <v>158418.91834420964</v>
          </cell>
          <cell r="DJ94">
            <v>0</v>
          </cell>
          <cell r="DK94">
            <v>7557</v>
          </cell>
          <cell r="DL94">
            <v>3466.71</v>
          </cell>
          <cell r="DM94">
            <v>70073.495851086889</v>
          </cell>
          <cell r="DN94">
            <v>0</v>
          </cell>
          <cell r="DO94">
            <v>0</v>
          </cell>
          <cell r="DP94">
            <v>0</v>
          </cell>
          <cell r="DQ94">
            <v>81097.205851086881</v>
          </cell>
          <cell r="DR94">
            <v>0</v>
          </cell>
          <cell r="DS94">
            <v>0</v>
          </cell>
          <cell r="DT94">
            <v>0</v>
          </cell>
          <cell r="DU94">
            <v>0</v>
          </cell>
          <cell r="DV94">
            <v>0</v>
          </cell>
          <cell r="DW94">
            <v>0</v>
          </cell>
          <cell r="DX94">
            <v>0</v>
          </cell>
          <cell r="DY94">
            <v>6208.8949405619987</v>
          </cell>
          <cell r="DZ94">
            <v>1118.9704987504028</v>
          </cell>
          <cell r="EA94">
            <v>0</v>
          </cell>
          <cell r="EB94">
            <v>7327.8654393124016</v>
          </cell>
          <cell r="EE94">
            <v>0</v>
          </cell>
          <cell r="EH94">
            <v>0</v>
          </cell>
          <cell r="EI94">
            <v>0</v>
          </cell>
          <cell r="EK94">
            <v>0</v>
          </cell>
          <cell r="EL94">
            <v>4505</v>
          </cell>
          <cell r="EM94">
            <v>0</v>
          </cell>
          <cell r="EO94">
            <v>4505</v>
          </cell>
          <cell r="EP94">
            <v>0</v>
          </cell>
          <cell r="EQ94">
            <v>101648.40882063266</v>
          </cell>
          <cell r="ER94">
            <v>1252718.2854487796</v>
          </cell>
          <cell r="ET94">
            <v>349.14947368421053</v>
          </cell>
          <cell r="EU94">
            <v>3587.9140020752402</v>
          </cell>
          <cell r="EV94" t="str">
            <v>No Variation Applied</v>
          </cell>
          <cell r="EW94">
            <v>40450</v>
          </cell>
          <cell r="EX94">
            <v>0</v>
          </cell>
          <cell r="EY94">
            <v>0</v>
          </cell>
          <cell r="EZ94">
            <v>114086.11202520624</v>
          </cell>
        </row>
        <row r="95">
          <cell r="C95" t="str">
            <v>Walter Evans Church of England Aided Primary School</v>
          </cell>
          <cell r="D95">
            <v>3530</v>
          </cell>
          <cell r="F95" t="str">
            <v/>
          </cell>
          <cell r="G95">
            <v>0</v>
          </cell>
          <cell r="H95">
            <v>26760</v>
          </cell>
          <cell r="I95">
            <v>0</v>
          </cell>
          <cell r="J95">
            <v>0</v>
          </cell>
          <cell r="L95">
            <v>93564.500021100364</v>
          </cell>
          <cell r="M95">
            <v>26760</v>
          </cell>
          <cell r="N95">
            <v>28.168421052631579</v>
          </cell>
          <cell r="S95">
            <v>0</v>
          </cell>
          <cell r="T95">
            <v>0</v>
          </cell>
          <cell r="U95">
            <v>44</v>
          </cell>
          <cell r="Y95">
            <v>44</v>
          </cell>
          <cell r="Z95">
            <v>38</v>
          </cell>
          <cell r="AA95">
            <v>49</v>
          </cell>
          <cell r="AB95">
            <v>44</v>
          </cell>
          <cell r="AC95">
            <v>41</v>
          </cell>
          <cell r="AD95">
            <v>32</v>
          </cell>
          <cell r="AK95">
            <v>755329.63964485866</v>
          </cell>
          <cell r="AL95">
            <v>292</v>
          </cell>
          <cell r="BS95">
            <v>580.26</v>
          </cell>
          <cell r="BT95">
            <v>0</v>
          </cell>
          <cell r="BU95">
            <v>348.15600000000001</v>
          </cell>
          <cell r="BV95">
            <v>0</v>
          </cell>
          <cell r="BW95">
            <v>0</v>
          </cell>
          <cell r="BX95">
            <v>-6110.1040000000066</v>
          </cell>
          <cell r="BY95">
            <v>0</v>
          </cell>
          <cell r="BZ95">
            <v>2007.6995999999999</v>
          </cell>
          <cell r="CA95">
            <v>0</v>
          </cell>
          <cell r="CB95">
            <v>0</v>
          </cell>
          <cell r="CC95">
            <v>0</v>
          </cell>
          <cell r="CD95">
            <v>0</v>
          </cell>
          <cell r="CE95">
            <v>-3173.9884000000065</v>
          </cell>
          <cell r="CF95">
            <v>22680.611130037629</v>
          </cell>
          <cell r="CI95">
            <v>0</v>
          </cell>
          <cell r="CJ95">
            <v>0</v>
          </cell>
          <cell r="CK95">
            <v>5926.72</v>
          </cell>
          <cell r="CL95">
            <v>4928.6549577447331</v>
          </cell>
          <cell r="CM95">
            <v>33535.986087782367</v>
          </cell>
          <cell r="CQ95">
            <v>0</v>
          </cell>
          <cell r="CR95">
            <v>401.94</v>
          </cell>
          <cell r="CS95">
            <v>404.17052030251796</v>
          </cell>
          <cell r="CT95">
            <v>806.1105203025179</v>
          </cell>
          <cell r="CU95">
            <v>2502.698959183982</v>
          </cell>
          <cell r="CV95">
            <v>0</v>
          </cell>
          <cell r="CW95">
            <v>2502.698959183982</v>
          </cell>
          <cell r="CX95">
            <v>0</v>
          </cell>
          <cell r="CZ95">
            <v>0</v>
          </cell>
          <cell r="DC95">
            <v>0</v>
          </cell>
          <cell r="DD95">
            <v>10381.996510411533</v>
          </cell>
          <cell r="DE95">
            <v>5229.7729193995046</v>
          </cell>
          <cell r="DF95">
            <v>1712.2348495052349</v>
          </cell>
          <cell r="DG95">
            <v>0</v>
          </cell>
          <cell r="DH95">
            <v>0</v>
          </cell>
          <cell r="DI95">
            <v>17324.004279316272</v>
          </cell>
          <cell r="DJ95">
            <v>0</v>
          </cell>
          <cell r="DK95">
            <v>2496.1</v>
          </cell>
          <cell r="DL95">
            <v>4036.34</v>
          </cell>
          <cell r="DM95">
            <v>70073.495851086889</v>
          </cell>
          <cell r="DN95">
            <v>0</v>
          </cell>
          <cell r="DO95">
            <v>0</v>
          </cell>
          <cell r="DP95">
            <v>0</v>
          </cell>
          <cell r="DQ95">
            <v>76605.935851086891</v>
          </cell>
          <cell r="DR95">
            <v>0</v>
          </cell>
          <cell r="DS95">
            <v>0</v>
          </cell>
          <cell r="DT95">
            <v>0</v>
          </cell>
          <cell r="DU95">
            <v>0</v>
          </cell>
          <cell r="DV95">
            <v>0</v>
          </cell>
          <cell r="DW95">
            <v>0</v>
          </cell>
          <cell r="DX95">
            <v>0</v>
          </cell>
          <cell r="DY95">
            <v>4901.7591636015777</v>
          </cell>
          <cell r="DZ95">
            <v>1008.4548939355483</v>
          </cell>
          <cell r="EA95">
            <v>0</v>
          </cell>
          <cell r="EB95">
            <v>5910.2140575371259</v>
          </cell>
          <cell r="EE95">
            <v>0</v>
          </cell>
          <cell r="EH95">
            <v>0</v>
          </cell>
          <cell r="EI95">
            <v>0</v>
          </cell>
          <cell r="EK95">
            <v>0</v>
          </cell>
          <cell r="EL95">
            <v>0</v>
          </cell>
          <cell r="EM95">
            <v>0</v>
          </cell>
          <cell r="EO95">
            <v>0</v>
          </cell>
          <cell r="EP95">
            <v>0</v>
          </cell>
          <cell r="EQ95">
            <v>90390.511621100362</v>
          </cell>
          <cell r="ER95">
            <v>982405.10102116817</v>
          </cell>
          <cell r="ET95">
            <v>320.16842105263157</v>
          </cell>
          <cell r="EU95">
            <v>3068.4009928002033</v>
          </cell>
          <cell r="EV95" t="str">
            <v>No Variation Applied</v>
          </cell>
          <cell r="EW95">
            <v>7950</v>
          </cell>
          <cell r="EX95">
            <v>0</v>
          </cell>
          <cell r="EY95">
            <v>0</v>
          </cell>
          <cell r="EZ95">
            <v>34504.107192862066</v>
          </cell>
        </row>
        <row r="96">
          <cell r="C96" t="str">
            <v>St George's Catholic Primary School</v>
          </cell>
          <cell r="D96">
            <v>3531</v>
          </cell>
          <cell r="F96" t="str">
            <v/>
          </cell>
          <cell r="G96">
            <v>0</v>
          </cell>
          <cell r="H96">
            <v>0</v>
          </cell>
          <cell r="I96">
            <v>0</v>
          </cell>
          <cell r="J96">
            <v>0</v>
          </cell>
          <cell r="L96">
            <v>0</v>
          </cell>
          <cell r="M96">
            <v>0</v>
          </cell>
          <cell r="N96">
            <v>0</v>
          </cell>
          <cell r="S96">
            <v>0</v>
          </cell>
          <cell r="T96">
            <v>0</v>
          </cell>
          <cell r="U96">
            <v>51</v>
          </cell>
          <cell r="Y96">
            <v>51</v>
          </cell>
          <cell r="Z96">
            <v>51</v>
          </cell>
          <cell r="AA96">
            <v>52</v>
          </cell>
          <cell r="AB96">
            <v>52</v>
          </cell>
          <cell r="AC96">
            <v>43</v>
          </cell>
          <cell r="AD96">
            <v>50</v>
          </cell>
          <cell r="AK96">
            <v>904332.08363974979</v>
          </cell>
          <cell r="AL96">
            <v>350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22680.611130037629</v>
          </cell>
          <cell r="CI96">
            <v>0</v>
          </cell>
          <cell r="CJ96">
            <v>0</v>
          </cell>
          <cell r="CK96">
            <v>7103.95</v>
          </cell>
          <cell r="CL96">
            <v>4490.0392940578486</v>
          </cell>
          <cell r="CM96">
            <v>34274.600424095479</v>
          </cell>
          <cell r="CQ96">
            <v>5332.1167161226504</v>
          </cell>
          <cell r="CR96">
            <v>7234.97</v>
          </cell>
          <cell r="CS96">
            <v>15964.735551949459</v>
          </cell>
          <cell r="CT96">
            <v>28531.822268072108</v>
          </cell>
          <cell r="CU96">
            <v>3003.2387510207782</v>
          </cell>
          <cell r="CV96">
            <v>0</v>
          </cell>
          <cell r="CW96">
            <v>3003.2387510207782</v>
          </cell>
          <cell r="CX96">
            <v>0</v>
          </cell>
          <cell r="CZ96">
            <v>0</v>
          </cell>
          <cell r="DC96">
            <v>0</v>
          </cell>
          <cell r="DD96">
            <v>116812.20789626383</v>
          </cell>
          <cell r="DE96">
            <v>114600.24136423261</v>
          </cell>
          <cell r="DF96">
            <v>8561.1742475261744</v>
          </cell>
          <cell r="DG96">
            <v>0</v>
          </cell>
          <cell r="DH96">
            <v>0</v>
          </cell>
          <cell r="DI96">
            <v>239973.62350802263</v>
          </cell>
          <cell r="DJ96">
            <v>0</v>
          </cell>
          <cell r="DK96">
            <v>2885.4</v>
          </cell>
          <cell r="DL96">
            <v>8064.18</v>
          </cell>
          <cell r="DM96">
            <v>70073.495851086889</v>
          </cell>
          <cell r="DN96">
            <v>0</v>
          </cell>
          <cell r="DO96">
            <v>0</v>
          </cell>
          <cell r="DP96">
            <v>0</v>
          </cell>
          <cell r="DQ96">
            <v>81023.075851086891</v>
          </cell>
          <cell r="DR96">
            <v>0</v>
          </cell>
          <cell r="DS96">
            <v>0</v>
          </cell>
          <cell r="DT96">
            <v>0</v>
          </cell>
          <cell r="DU96">
            <v>0</v>
          </cell>
          <cell r="DV96">
            <v>0</v>
          </cell>
          <cell r="DW96">
            <v>0</v>
          </cell>
          <cell r="DX96">
            <v>0</v>
          </cell>
          <cell r="DY96">
            <v>4248.1912751213677</v>
          </cell>
          <cell r="DZ96">
            <v>1208.7644276624724</v>
          </cell>
          <cell r="EA96">
            <v>0</v>
          </cell>
          <cell r="EB96">
            <v>5456.95570278384</v>
          </cell>
          <cell r="EE96">
            <v>0</v>
          </cell>
          <cell r="EH96">
            <v>0</v>
          </cell>
          <cell r="EI96">
            <v>0</v>
          </cell>
          <cell r="EK96">
            <v>0</v>
          </cell>
          <cell r="EL96">
            <v>0</v>
          </cell>
          <cell r="EM96">
            <v>0</v>
          </cell>
          <cell r="EO96">
            <v>0</v>
          </cell>
          <cell r="EP96">
            <v>0</v>
          </cell>
          <cell r="EQ96">
            <v>0</v>
          </cell>
          <cell r="ER96">
            <v>1296595.4001448315</v>
          </cell>
          <cell r="ET96">
            <v>350</v>
          </cell>
          <cell r="EU96">
            <v>3704.55828612809</v>
          </cell>
          <cell r="EV96" t="str">
            <v>No Variation Applied</v>
          </cell>
          <cell r="EW96">
            <v>63600</v>
          </cell>
          <cell r="EX96">
            <v>0</v>
          </cell>
          <cell r="EY96">
            <v>0</v>
          </cell>
          <cell r="EZ96">
            <v>159872.26785371202</v>
          </cell>
        </row>
        <row r="97">
          <cell r="C97" t="str">
            <v>St Werburgh's Church of England VA Primary School</v>
          </cell>
          <cell r="D97">
            <v>3532</v>
          </cell>
          <cell r="F97" t="str">
            <v/>
          </cell>
          <cell r="G97">
            <v>0</v>
          </cell>
          <cell r="H97">
            <v>0</v>
          </cell>
          <cell r="I97">
            <v>0</v>
          </cell>
          <cell r="J97">
            <v>0</v>
          </cell>
          <cell r="L97">
            <v>0</v>
          </cell>
          <cell r="M97">
            <v>0</v>
          </cell>
          <cell r="N97">
            <v>0</v>
          </cell>
          <cell r="S97">
            <v>0</v>
          </cell>
          <cell r="T97">
            <v>0</v>
          </cell>
          <cell r="U97">
            <v>45</v>
          </cell>
          <cell r="Y97">
            <v>45</v>
          </cell>
          <cell r="Z97">
            <v>44</v>
          </cell>
          <cell r="AA97">
            <v>48</v>
          </cell>
          <cell r="AB97">
            <v>38</v>
          </cell>
          <cell r="AC97">
            <v>45</v>
          </cell>
          <cell r="AD97">
            <v>40</v>
          </cell>
          <cell r="AK97">
            <v>788235.24135032785</v>
          </cell>
          <cell r="AL97">
            <v>305</v>
          </cell>
          <cell r="BS97">
            <v>0</v>
          </cell>
          <cell r="BT97">
            <v>0</v>
          </cell>
          <cell r="BU97">
            <v>0</v>
          </cell>
          <cell r="BV97">
            <v>0</v>
          </cell>
          <cell r="BW97">
            <v>0</v>
          </cell>
          <cell r="BX97">
            <v>0</v>
          </cell>
          <cell r="BY97">
            <v>0</v>
          </cell>
          <cell r="BZ97">
            <v>0</v>
          </cell>
          <cell r="CA97">
            <v>0</v>
          </cell>
          <cell r="CB97">
            <v>0</v>
          </cell>
          <cell r="CC97">
            <v>0</v>
          </cell>
          <cell r="CD97">
            <v>0</v>
          </cell>
          <cell r="CE97">
            <v>0</v>
          </cell>
          <cell r="CF97">
            <v>22680.611130037629</v>
          </cell>
          <cell r="CI97">
            <v>0</v>
          </cell>
          <cell r="CJ97">
            <v>0</v>
          </cell>
          <cell r="CK97">
            <v>6190.58</v>
          </cell>
          <cell r="CL97">
            <v>5525.0183601260242</v>
          </cell>
          <cell r="CM97">
            <v>34396.209490163652</v>
          </cell>
          <cell r="CQ97">
            <v>1523.4619188921858</v>
          </cell>
          <cell r="CR97">
            <v>0</v>
          </cell>
          <cell r="CS97">
            <v>1010.4263007562949</v>
          </cell>
          <cell r="CT97">
            <v>2533.888219648481</v>
          </cell>
          <cell r="CU97">
            <v>11762.685108164713</v>
          </cell>
          <cell r="CV97">
            <v>0</v>
          </cell>
          <cell r="CW97">
            <v>11762.685108164713</v>
          </cell>
          <cell r="CX97">
            <v>0</v>
          </cell>
          <cell r="CZ97">
            <v>0</v>
          </cell>
          <cell r="DC97">
            <v>0</v>
          </cell>
          <cell r="DD97">
            <v>26589.118903795446</v>
          </cell>
          <cell r="DE97">
            <v>12733.360151581403</v>
          </cell>
          <cell r="DF97">
            <v>1712.2348495052349</v>
          </cell>
          <cell r="DG97">
            <v>0</v>
          </cell>
          <cell r="DH97">
            <v>0</v>
          </cell>
          <cell r="DI97">
            <v>41034.713904882083</v>
          </cell>
          <cell r="DJ97">
            <v>0</v>
          </cell>
          <cell r="DK97">
            <v>3915.9</v>
          </cell>
          <cell r="DL97">
            <v>4160.9399999999996</v>
          </cell>
          <cell r="DM97">
            <v>70073.495851086889</v>
          </cell>
          <cell r="DN97">
            <v>0</v>
          </cell>
          <cell r="DO97">
            <v>0</v>
          </cell>
          <cell r="DP97">
            <v>0</v>
          </cell>
          <cell r="DQ97">
            <v>78150.335851086886</v>
          </cell>
          <cell r="DR97">
            <v>0</v>
          </cell>
          <cell r="DS97">
            <v>0</v>
          </cell>
          <cell r="DT97">
            <v>0</v>
          </cell>
          <cell r="DU97">
            <v>0</v>
          </cell>
          <cell r="DV97">
            <v>0</v>
          </cell>
          <cell r="DW97">
            <v>0</v>
          </cell>
          <cell r="DX97">
            <v>0</v>
          </cell>
          <cell r="DY97">
            <v>3267.8394424010521</v>
          </cell>
          <cell r="DZ97">
            <v>1053.3518583915829</v>
          </cell>
          <cell r="EA97">
            <v>0</v>
          </cell>
          <cell r="EB97">
            <v>4321.191300792635</v>
          </cell>
          <cell r="EE97">
            <v>0</v>
          </cell>
          <cell r="EH97">
            <v>0</v>
          </cell>
          <cell r="EI97">
            <v>5352.8414999999995</v>
          </cell>
          <cell r="EK97">
            <v>0</v>
          </cell>
          <cell r="EL97">
            <v>13640</v>
          </cell>
          <cell r="EM97">
            <v>0</v>
          </cell>
          <cell r="EO97">
            <v>18992.841499999999</v>
          </cell>
          <cell r="EP97">
            <v>15226.878276318195</v>
          </cell>
          <cell r="EQ97">
            <v>0</v>
          </cell>
          <cell r="ER97">
            <v>994653.9850013844</v>
          </cell>
          <cell r="ET97">
            <v>305</v>
          </cell>
          <cell r="EU97">
            <v>3261.1606065619162</v>
          </cell>
          <cell r="EV97" t="str">
            <v>No Variation Applied</v>
          </cell>
          <cell r="EW97">
            <v>18600</v>
          </cell>
          <cell r="EX97">
            <v>0</v>
          </cell>
          <cell r="EY97">
            <v>0</v>
          </cell>
          <cell r="EZ97">
            <v>57648.233180288495</v>
          </cell>
        </row>
        <row r="98">
          <cell r="C98" t="str">
            <v>St John Fisher Catholic Primary School, Alvaston, Derby</v>
          </cell>
          <cell r="D98">
            <v>3533</v>
          </cell>
          <cell r="F98" t="str">
            <v/>
          </cell>
          <cell r="G98">
            <v>0</v>
          </cell>
          <cell r="H98">
            <v>0</v>
          </cell>
          <cell r="I98">
            <v>0</v>
          </cell>
          <cell r="J98">
            <v>0</v>
          </cell>
          <cell r="L98">
            <v>0</v>
          </cell>
          <cell r="M98">
            <v>0</v>
          </cell>
          <cell r="N98">
            <v>0</v>
          </cell>
          <cell r="S98">
            <v>0</v>
          </cell>
          <cell r="T98">
            <v>0</v>
          </cell>
          <cell r="U98">
            <v>30</v>
          </cell>
          <cell r="Y98">
            <v>30</v>
          </cell>
          <cell r="Z98">
            <v>30</v>
          </cell>
          <cell r="AA98">
            <v>35</v>
          </cell>
          <cell r="AB98">
            <v>29</v>
          </cell>
          <cell r="AC98">
            <v>33</v>
          </cell>
          <cell r="AD98">
            <v>26</v>
          </cell>
          <cell r="AK98">
            <v>550247.44205783936</v>
          </cell>
          <cell r="AL98">
            <v>213</v>
          </cell>
          <cell r="BS98">
            <v>0</v>
          </cell>
          <cell r="BT98">
            <v>0</v>
          </cell>
          <cell r="BU98">
            <v>0</v>
          </cell>
          <cell r="BV98">
            <v>0</v>
          </cell>
          <cell r="BW98">
            <v>0</v>
          </cell>
          <cell r="BX98">
            <v>0</v>
          </cell>
          <cell r="BY98">
            <v>0</v>
          </cell>
          <cell r="BZ98">
            <v>0</v>
          </cell>
          <cell r="CA98">
            <v>0</v>
          </cell>
          <cell r="CB98">
            <v>0</v>
          </cell>
          <cell r="CC98">
            <v>0</v>
          </cell>
          <cell r="CD98">
            <v>0</v>
          </cell>
          <cell r="CE98">
            <v>0</v>
          </cell>
          <cell r="CF98">
            <v>11340.305565018814</v>
          </cell>
          <cell r="CI98">
            <v>0</v>
          </cell>
          <cell r="CJ98">
            <v>0</v>
          </cell>
          <cell r="CK98">
            <v>4323.26</v>
          </cell>
          <cell r="CL98">
            <v>2054.5681088490924</v>
          </cell>
          <cell r="CM98">
            <v>17718.133673867906</v>
          </cell>
          <cell r="CQ98">
            <v>9902.5024727992077</v>
          </cell>
          <cell r="CR98">
            <v>5024.29</v>
          </cell>
          <cell r="CS98">
            <v>12327.200869226797</v>
          </cell>
          <cell r="CT98">
            <v>27253.993342026006</v>
          </cell>
          <cell r="CU98">
            <v>10511.335628572724</v>
          </cell>
          <cell r="CV98">
            <v>0</v>
          </cell>
          <cell r="CW98">
            <v>10511.335628572724</v>
          </cell>
          <cell r="CX98">
            <v>0</v>
          </cell>
          <cell r="CZ98">
            <v>0</v>
          </cell>
          <cell r="DC98">
            <v>0</v>
          </cell>
          <cell r="DD98">
            <v>85282.792357542465</v>
          </cell>
          <cell r="DE98">
            <v>85950.18102317446</v>
          </cell>
          <cell r="DF98">
            <v>856.11742475261747</v>
          </cell>
          <cell r="DG98">
            <v>0</v>
          </cell>
          <cell r="DH98">
            <v>0</v>
          </cell>
          <cell r="DI98">
            <v>172089.09080546955</v>
          </cell>
          <cell r="DJ98">
            <v>0</v>
          </cell>
          <cell r="DK98">
            <v>2358.6999999999998</v>
          </cell>
          <cell r="DL98">
            <v>3567.1</v>
          </cell>
          <cell r="DM98">
            <v>70073.495851086889</v>
          </cell>
          <cell r="DN98">
            <v>0</v>
          </cell>
          <cell r="DO98">
            <v>0</v>
          </cell>
          <cell r="DP98">
            <v>0</v>
          </cell>
          <cell r="DQ98">
            <v>75999.295851086892</v>
          </cell>
          <cell r="DR98">
            <v>0</v>
          </cell>
          <cell r="DS98">
            <v>0</v>
          </cell>
          <cell r="DT98">
            <v>0</v>
          </cell>
          <cell r="DU98">
            <v>0</v>
          </cell>
          <cell r="DV98">
            <v>0</v>
          </cell>
          <cell r="DW98">
            <v>0</v>
          </cell>
          <cell r="DX98">
            <v>0</v>
          </cell>
          <cell r="DY98">
            <v>7189.2467732823143</v>
          </cell>
          <cell r="DZ98">
            <v>735.61949454887599</v>
          </cell>
          <cell r="EA98">
            <v>0</v>
          </cell>
          <cell r="EB98">
            <v>7924.8662678311903</v>
          </cell>
          <cell r="EE98">
            <v>0</v>
          </cell>
          <cell r="EH98">
            <v>0</v>
          </cell>
          <cell r="EI98">
            <v>0</v>
          </cell>
          <cell r="EK98">
            <v>0</v>
          </cell>
          <cell r="EL98">
            <v>0</v>
          </cell>
          <cell r="EM98">
            <v>0</v>
          </cell>
          <cell r="EO98">
            <v>0</v>
          </cell>
          <cell r="EP98">
            <v>4509.35810113966</v>
          </cell>
          <cell r="EQ98">
            <v>0</v>
          </cell>
          <cell r="ER98">
            <v>866253.51572783326</v>
          </cell>
          <cell r="ET98">
            <v>213</v>
          </cell>
          <cell r="EU98">
            <v>4066.9179142151797</v>
          </cell>
          <cell r="EV98" t="str">
            <v>No Variation Applied</v>
          </cell>
          <cell r="EW98">
            <v>43800</v>
          </cell>
          <cell r="EX98">
            <v>0</v>
          </cell>
          <cell r="EY98">
            <v>0</v>
          </cell>
          <cell r="EZ98">
            <v>127700.33777155215</v>
          </cell>
        </row>
        <row r="99">
          <cell r="C99" t="str">
            <v>St Peter's Church of England Aided Junior School</v>
          </cell>
          <cell r="D99">
            <v>3534</v>
          </cell>
          <cell r="F99" t="str">
            <v/>
          </cell>
          <cell r="G99">
            <v>0</v>
          </cell>
          <cell r="H99">
            <v>0</v>
          </cell>
          <cell r="I99">
            <v>0</v>
          </cell>
          <cell r="J99">
            <v>0</v>
          </cell>
          <cell r="L99">
            <v>0</v>
          </cell>
          <cell r="M99">
            <v>0</v>
          </cell>
          <cell r="N99">
            <v>0</v>
          </cell>
          <cell r="S99">
            <v>0</v>
          </cell>
          <cell r="T99">
            <v>0</v>
          </cell>
          <cell r="U99">
            <v>0</v>
          </cell>
          <cell r="Y99">
            <v>0</v>
          </cell>
          <cell r="Z99">
            <v>0</v>
          </cell>
          <cell r="AA99">
            <v>57</v>
          </cell>
          <cell r="AB99">
            <v>59</v>
          </cell>
          <cell r="AC99">
            <v>56</v>
          </cell>
          <cell r="AD99">
            <v>64</v>
          </cell>
          <cell r="AK99">
            <v>606355.53839869483</v>
          </cell>
          <cell r="AL99">
            <v>236</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I99">
            <v>0</v>
          </cell>
          <cell r="CJ99">
            <v>0</v>
          </cell>
          <cell r="CK99">
            <v>4790.09</v>
          </cell>
          <cell r="CL99">
            <v>3901.3709033201872</v>
          </cell>
          <cell r="CM99">
            <v>8691.4609033201868</v>
          </cell>
          <cell r="CQ99">
            <v>4570.3857566765573</v>
          </cell>
          <cell r="CR99">
            <v>10651.49</v>
          </cell>
          <cell r="CS99">
            <v>13135.541909831834</v>
          </cell>
          <cell r="CT99">
            <v>28357.417666508391</v>
          </cell>
          <cell r="CU99">
            <v>10511.335628572724</v>
          </cell>
          <cell r="CV99">
            <v>0</v>
          </cell>
          <cell r="CW99">
            <v>10511.335628572724</v>
          </cell>
          <cell r="CX99">
            <v>0</v>
          </cell>
          <cell r="CZ99">
            <v>0</v>
          </cell>
          <cell r="DC99">
            <v>0</v>
          </cell>
          <cell r="DD99">
            <v>23624.94092283988</v>
          </cell>
          <cell r="DE99">
            <v>21601.235971432736</v>
          </cell>
          <cell r="DF99">
            <v>5136.704548515705</v>
          </cell>
          <cell r="DG99">
            <v>0</v>
          </cell>
          <cell r="DH99">
            <v>0</v>
          </cell>
          <cell r="DI99">
            <v>50362.881442788326</v>
          </cell>
          <cell r="DJ99">
            <v>0</v>
          </cell>
          <cell r="DK99">
            <v>2541.9</v>
          </cell>
          <cell r="DL99">
            <v>3426.63</v>
          </cell>
          <cell r="DM99">
            <v>70073.495851086889</v>
          </cell>
          <cell r="DN99">
            <v>0</v>
          </cell>
          <cell r="DO99">
            <v>0</v>
          </cell>
          <cell r="DP99">
            <v>0</v>
          </cell>
          <cell r="DQ99">
            <v>76042.025851086888</v>
          </cell>
          <cell r="DR99">
            <v>0</v>
          </cell>
          <cell r="DS99">
            <v>0</v>
          </cell>
          <cell r="DT99">
            <v>0</v>
          </cell>
          <cell r="DU99">
            <v>0</v>
          </cell>
          <cell r="DV99">
            <v>0</v>
          </cell>
          <cell r="DW99">
            <v>0</v>
          </cell>
          <cell r="DX99">
            <v>0</v>
          </cell>
          <cell r="DY99">
            <v>3267.8394424010521</v>
          </cell>
          <cell r="DZ99">
            <v>815.05258550955273</v>
          </cell>
          <cell r="EA99">
            <v>0</v>
          </cell>
          <cell r="EB99">
            <v>4082.8920279106051</v>
          </cell>
          <cell r="EE99">
            <v>0</v>
          </cell>
          <cell r="EH99">
            <v>0</v>
          </cell>
          <cell r="EI99">
            <v>0</v>
          </cell>
          <cell r="EK99">
            <v>0</v>
          </cell>
          <cell r="EL99">
            <v>5005</v>
          </cell>
          <cell r="EM99">
            <v>0</v>
          </cell>
          <cell r="EO99">
            <v>5005</v>
          </cell>
          <cell r="EP99">
            <v>0</v>
          </cell>
          <cell r="EQ99">
            <v>0</v>
          </cell>
          <cell r="ER99">
            <v>789408.55191888195</v>
          </cell>
          <cell r="ET99">
            <v>236</v>
          </cell>
          <cell r="EU99">
            <v>3344.9514911817032</v>
          </cell>
          <cell r="EV99" t="str">
            <v>No Variation Applied</v>
          </cell>
          <cell r="EW99">
            <v>25350</v>
          </cell>
          <cell r="EX99">
            <v>0</v>
          </cell>
          <cell r="EY99">
            <v>0</v>
          </cell>
          <cell r="EZ99">
            <v>67661.459374340498</v>
          </cell>
        </row>
        <row r="100">
          <cell r="C100" t="str">
            <v>St James' Church of England Aided Junior School</v>
          </cell>
          <cell r="D100">
            <v>3535</v>
          </cell>
          <cell r="F100" t="str">
            <v/>
          </cell>
          <cell r="G100">
            <v>0</v>
          </cell>
          <cell r="H100">
            <v>0</v>
          </cell>
          <cell r="I100">
            <v>0</v>
          </cell>
          <cell r="J100">
            <v>0</v>
          </cell>
          <cell r="L100">
            <v>0</v>
          </cell>
          <cell r="M100">
            <v>0</v>
          </cell>
          <cell r="N100">
            <v>0</v>
          </cell>
          <cell r="S100">
            <v>0</v>
          </cell>
          <cell r="T100">
            <v>0</v>
          </cell>
          <cell r="U100">
            <v>0</v>
          </cell>
          <cell r="Y100">
            <v>0</v>
          </cell>
          <cell r="Z100">
            <v>0</v>
          </cell>
          <cell r="AA100">
            <v>75</v>
          </cell>
          <cell r="AB100">
            <v>65</v>
          </cell>
          <cell r="AC100">
            <v>51</v>
          </cell>
          <cell r="AD100">
            <v>72</v>
          </cell>
          <cell r="AK100">
            <v>675726.72287651151</v>
          </cell>
          <cell r="AL100">
            <v>263</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I100">
            <v>0</v>
          </cell>
          <cell r="CJ100">
            <v>4551.07</v>
          </cell>
          <cell r="CK100">
            <v>5338.11</v>
          </cell>
          <cell r="CL100">
            <v>4089.8986885891113</v>
          </cell>
          <cell r="CM100">
            <v>13979.078688589112</v>
          </cell>
          <cell r="CQ100">
            <v>25137.121661721067</v>
          </cell>
          <cell r="CR100">
            <v>44213.71</v>
          </cell>
          <cell r="CS100">
            <v>39406.625729495499</v>
          </cell>
          <cell r="CT100">
            <v>108757.45739121657</v>
          </cell>
          <cell r="CU100">
            <v>12138.08995204231</v>
          </cell>
          <cell r="CV100">
            <v>0</v>
          </cell>
          <cell r="CW100">
            <v>12138.08995204231</v>
          </cell>
          <cell r="CX100">
            <v>0</v>
          </cell>
          <cell r="CZ100">
            <v>0</v>
          </cell>
          <cell r="DC100">
            <v>0</v>
          </cell>
          <cell r="DD100">
            <v>107904.92679926305</v>
          </cell>
          <cell r="DE100">
            <v>173264.65063401836</v>
          </cell>
          <cell r="DF100">
            <v>8561.1742475261744</v>
          </cell>
          <cell r="DG100">
            <v>0</v>
          </cell>
          <cell r="DH100">
            <v>0</v>
          </cell>
          <cell r="DI100">
            <v>289730.75168080756</v>
          </cell>
          <cell r="DJ100">
            <v>5450.68</v>
          </cell>
          <cell r="DK100">
            <v>2267.1</v>
          </cell>
          <cell r="DL100">
            <v>6310.63</v>
          </cell>
          <cell r="DM100">
            <v>70073.495851086889</v>
          </cell>
          <cell r="DN100">
            <v>0</v>
          </cell>
          <cell r="DO100">
            <v>0</v>
          </cell>
          <cell r="DP100">
            <v>0</v>
          </cell>
          <cell r="DQ100">
            <v>84101.905851086893</v>
          </cell>
          <cell r="DR100">
            <v>0</v>
          </cell>
          <cell r="DS100">
            <v>0</v>
          </cell>
          <cell r="DT100">
            <v>0</v>
          </cell>
          <cell r="DU100">
            <v>0</v>
          </cell>
          <cell r="DV100">
            <v>0</v>
          </cell>
          <cell r="DW100">
            <v>0</v>
          </cell>
          <cell r="DX100">
            <v>0</v>
          </cell>
          <cell r="DY100">
            <v>9803.5183272031554</v>
          </cell>
          <cell r="DZ100">
            <v>908.3001270720863</v>
          </cell>
          <cell r="EA100">
            <v>0</v>
          </cell>
          <cell r="EB100">
            <v>10711.818454275242</v>
          </cell>
          <cell r="EE100">
            <v>0</v>
          </cell>
          <cell r="EH100">
            <v>0</v>
          </cell>
          <cell r="EI100">
            <v>0</v>
          </cell>
          <cell r="EK100">
            <v>0</v>
          </cell>
          <cell r="EL100">
            <v>501</v>
          </cell>
          <cell r="EM100">
            <v>0</v>
          </cell>
          <cell r="EO100">
            <v>501</v>
          </cell>
          <cell r="EP100">
            <v>7609.1426011084113</v>
          </cell>
          <cell r="EQ100">
            <v>0</v>
          </cell>
          <cell r="ER100">
            <v>1203255.9674956375</v>
          </cell>
          <cell r="ET100">
            <v>263</v>
          </cell>
          <cell r="EU100">
            <v>4575.1177471317014</v>
          </cell>
          <cell r="EV100" t="str">
            <v>No Variation Applied</v>
          </cell>
          <cell r="EW100">
            <v>61200</v>
          </cell>
          <cell r="EX100">
            <v>0</v>
          </cell>
          <cell r="EY100">
            <v>0</v>
          </cell>
          <cell r="EZ100">
            <v>218789.78966916676</v>
          </cell>
        </row>
        <row r="101">
          <cell r="C101" t="str">
            <v>St Joseph's Catholic Primary School, Derby</v>
          </cell>
          <cell r="D101">
            <v>3542</v>
          </cell>
          <cell r="F101" t="str">
            <v/>
          </cell>
          <cell r="G101">
            <v>0</v>
          </cell>
          <cell r="H101">
            <v>0</v>
          </cell>
          <cell r="I101">
            <v>0</v>
          </cell>
          <cell r="J101">
            <v>0</v>
          </cell>
          <cell r="L101">
            <v>0</v>
          </cell>
          <cell r="M101">
            <v>0</v>
          </cell>
          <cell r="N101">
            <v>0</v>
          </cell>
          <cell r="S101">
            <v>0</v>
          </cell>
          <cell r="T101">
            <v>0</v>
          </cell>
          <cell r="U101">
            <v>51</v>
          </cell>
          <cell r="Y101">
            <v>50</v>
          </cell>
          <cell r="Z101">
            <v>50</v>
          </cell>
          <cell r="AA101">
            <v>51</v>
          </cell>
          <cell r="AB101">
            <v>51</v>
          </cell>
          <cell r="AC101">
            <v>47</v>
          </cell>
          <cell r="AD101">
            <v>49</v>
          </cell>
          <cell r="AK101">
            <v>902000.72777351213</v>
          </cell>
          <cell r="AL101">
            <v>349</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22680.611130037629</v>
          </cell>
          <cell r="CI101">
            <v>0</v>
          </cell>
          <cell r="CJ101">
            <v>6039.25</v>
          </cell>
          <cell r="CK101">
            <v>7083.65</v>
          </cell>
          <cell r="CL101">
            <v>3908.1040385083629</v>
          </cell>
          <cell r="CM101">
            <v>39711.615168545992</v>
          </cell>
          <cell r="CQ101">
            <v>6093.8476755687434</v>
          </cell>
          <cell r="CR101">
            <v>24719.48</v>
          </cell>
          <cell r="CS101">
            <v>11720.94508877302</v>
          </cell>
          <cell r="CT101">
            <v>42534.27276434176</v>
          </cell>
          <cell r="CU101">
            <v>0</v>
          </cell>
          <cell r="CV101">
            <v>0</v>
          </cell>
          <cell r="CW101">
            <v>0</v>
          </cell>
          <cell r="CX101">
            <v>0</v>
          </cell>
          <cell r="CZ101">
            <v>0</v>
          </cell>
          <cell r="DC101">
            <v>0</v>
          </cell>
          <cell r="DD101">
            <v>60006.170171682563</v>
          </cell>
          <cell r="DE101">
            <v>128925.27153476169</v>
          </cell>
          <cell r="DF101">
            <v>5992.8219732683219</v>
          </cell>
          <cell r="DG101">
            <v>0</v>
          </cell>
          <cell r="DH101">
            <v>0</v>
          </cell>
          <cell r="DI101">
            <v>194924.26367971257</v>
          </cell>
          <cell r="DJ101">
            <v>6950.4</v>
          </cell>
          <cell r="DK101">
            <v>4213.6000000000004</v>
          </cell>
          <cell r="DL101">
            <v>2580.71</v>
          </cell>
          <cell r="DM101">
            <v>70073.495851086889</v>
          </cell>
          <cell r="DN101">
            <v>0</v>
          </cell>
          <cell r="DO101">
            <v>0</v>
          </cell>
          <cell r="DP101">
            <v>0</v>
          </cell>
          <cell r="DQ101">
            <v>83818.205851086881</v>
          </cell>
          <cell r="DR101">
            <v>0</v>
          </cell>
          <cell r="DS101">
            <v>0</v>
          </cell>
          <cell r="DT101">
            <v>0</v>
          </cell>
          <cell r="DU101">
            <v>0</v>
          </cell>
          <cell r="DV101">
            <v>0</v>
          </cell>
          <cell r="DW101">
            <v>0</v>
          </cell>
          <cell r="DX101">
            <v>0</v>
          </cell>
          <cell r="DY101">
            <v>3594.6233866411571</v>
          </cell>
          <cell r="DZ101">
            <v>1205.3108150120081</v>
          </cell>
          <cell r="EA101">
            <v>0</v>
          </cell>
          <cell r="EB101">
            <v>4799.9342016531655</v>
          </cell>
          <cell r="EE101">
            <v>0</v>
          </cell>
          <cell r="EH101">
            <v>0</v>
          </cell>
          <cell r="EI101">
            <v>0</v>
          </cell>
          <cell r="EK101">
            <v>0</v>
          </cell>
          <cell r="EL101">
            <v>0</v>
          </cell>
          <cell r="EM101">
            <v>0</v>
          </cell>
          <cell r="EO101">
            <v>0</v>
          </cell>
          <cell r="EP101">
            <v>0</v>
          </cell>
          <cell r="EQ101">
            <v>0</v>
          </cell>
          <cell r="ER101">
            <v>1267789.0194388526</v>
          </cell>
          <cell r="ET101">
            <v>349</v>
          </cell>
          <cell r="EU101">
            <v>3632.6332935210676</v>
          </cell>
          <cell r="EV101" t="str">
            <v>No Variation Applied</v>
          </cell>
          <cell r="EW101">
            <v>36850</v>
          </cell>
          <cell r="EX101">
            <v>0</v>
          </cell>
          <cell r="EY101">
            <v>0</v>
          </cell>
          <cell r="EZ101">
            <v>115045.36826348184</v>
          </cell>
        </row>
        <row r="102">
          <cell r="C102" t="str">
            <v>St Alban's Catholic Primary School, Chaddesden, Derby</v>
          </cell>
          <cell r="D102">
            <v>3543</v>
          </cell>
          <cell r="F102" t="str">
            <v/>
          </cell>
          <cell r="G102">
            <v>0</v>
          </cell>
          <cell r="H102">
            <v>25110</v>
          </cell>
          <cell r="I102">
            <v>0</v>
          </cell>
          <cell r="J102">
            <v>0</v>
          </cell>
          <cell r="L102">
            <v>87795.388472714127</v>
          </cell>
          <cell r="M102">
            <v>25110</v>
          </cell>
          <cell r="N102">
            <v>26.431578947368422</v>
          </cell>
          <cell r="S102">
            <v>0</v>
          </cell>
          <cell r="T102">
            <v>0</v>
          </cell>
          <cell r="U102">
            <v>45</v>
          </cell>
          <cell r="Y102">
            <v>46</v>
          </cell>
          <cell r="Z102">
            <v>41</v>
          </cell>
          <cell r="AA102">
            <v>35</v>
          </cell>
          <cell r="AB102">
            <v>37</v>
          </cell>
          <cell r="AC102">
            <v>39</v>
          </cell>
          <cell r="AD102">
            <v>34</v>
          </cell>
          <cell r="AK102">
            <v>716532.70100627351</v>
          </cell>
          <cell r="AL102">
            <v>277</v>
          </cell>
          <cell r="BS102">
            <v>3655.6380000000004</v>
          </cell>
          <cell r="BT102">
            <v>0</v>
          </cell>
          <cell r="BU102">
            <v>116.05200000000001</v>
          </cell>
          <cell r="BV102">
            <v>0</v>
          </cell>
          <cell r="BW102">
            <v>0</v>
          </cell>
          <cell r="BX102">
            <v>1066.6128000000026</v>
          </cell>
          <cell r="BY102">
            <v>0</v>
          </cell>
          <cell r="BZ102">
            <v>1003.8498</v>
          </cell>
          <cell r="CA102">
            <v>0</v>
          </cell>
          <cell r="CB102">
            <v>0</v>
          </cell>
          <cell r="CC102">
            <v>0</v>
          </cell>
          <cell r="CD102">
            <v>0</v>
          </cell>
          <cell r="CE102">
            <v>5842.1526000000031</v>
          </cell>
          <cell r="CF102">
            <v>22680.611130037629</v>
          </cell>
          <cell r="CI102">
            <v>0</v>
          </cell>
          <cell r="CJ102">
            <v>0</v>
          </cell>
          <cell r="CK102">
            <v>5622.27</v>
          </cell>
          <cell r="CL102">
            <v>4805.5347714466607</v>
          </cell>
          <cell r="CM102">
            <v>33108.415901484288</v>
          </cell>
          <cell r="CQ102">
            <v>1523.4619188921858</v>
          </cell>
          <cell r="CR102">
            <v>5024.29</v>
          </cell>
          <cell r="CS102">
            <v>4647.9609834789562</v>
          </cell>
          <cell r="CT102">
            <v>11195.712902371142</v>
          </cell>
          <cell r="CU102">
            <v>10511.335628572724</v>
          </cell>
          <cell r="CV102">
            <v>0</v>
          </cell>
          <cell r="CW102">
            <v>10511.335628572724</v>
          </cell>
          <cell r="CX102">
            <v>0</v>
          </cell>
          <cell r="CZ102">
            <v>0</v>
          </cell>
          <cell r="DC102">
            <v>0</v>
          </cell>
          <cell r="DD102">
            <v>44890.337184222597</v>
          </cell>
          <cell r="DE102">
            <v>48887.007724821451</v>
          </cell>
          <cell r="DF102">
            <v>5136.704548515705</v>
          </cell>
          <cell r="DG102">
            <v>0</v>
          </cell>
          <cell r="DH102">
            <v>0</v>
          </cell>
          <cell r="DI102">
            <v>98914.04945755974</v>
          </cell>
          <cell r="DJ102">
            <v>0</v>
          </cell>
          <cell r="DK102">
            <v>2885.4</v>
          </cell>
          <cell r="DL102">
            <v>5797.41</v>
          </cell>
          <cell r="DM102">
            <v>70073.495851086889</v>
          </cell>
          <cell r="DN102">
            <v>0</v>
          </cell>
          <cell r="DO102">
            <v>0</v>
          </cell>
          <cell r="DP102">
            <v>0</v>
          </cell>
          <cell r="DQ102">
            <v>78756.305851086887</v>
          </cell>
          <cell r="DR102">
            <v>0</v>
          </cell>
          <cell r="DS102">
            <v>0</v>
          </cell>
          <cell r="DT102">
            <v>0</v>
          </cell>
          <cell r="DU102">
            <v>0</v>
          </cell>
          <cell r="DV102">
            <v>0</v>
          </cell>
          <cell r="DW102">
            <v>0</v>
          </cell>
          <cell r="DX102">
            <v>0</v>
          </cell>
          <cell r="DY102">
            <v>2941.0554981609466</v>
          </cell>
          <cell r="DZ102">
            <v>956.65070417858522</v>
          </cell>
          <cell r="EA102">
            <v>0</v>
          </cell>
          <cell r="EB102">
            <v>3897.706202339532</v>
          </cell>
          <cell r="EE102">
            <v>0</v>
          </cell>
          <cell r="EH102">
            <v>0</v>
          </cell>
          <cell r="EI102">
            <v>0</v>
          </cell>
          <cell r="EK102">
            <v>0</v>
          </cell>
          <cell r="EL102">
            <v>0</v>
          </cell>
          <cell r="EM102">
            <v>0</v>
          </cell>
          <cell r="EO102">
            <v>0</v>
          </cell>
          <cell r="EP102">
            <v>12596.6774811754</v>
          </cell>
          <cell r="EQ102">
            <v>93637.541072714128</v>
          </cell>
          <cell r="ER102">
            <v>1059150.4455035774</v>
          </cell>
          <cell r="ET102">
            <v>303.43157894736839</v>
          </cell>
          <cell r="EU102">
            <v>3490.5742150433589</v>
          </cell>
          <cell r="EV102" t="str">
            <v>No Variation Applied</v>
          </cell>
          <cell r="EW102">
            <v>33000</v>
          </cell>
          <cell r="EX102">
            <v>0</v>
          </cell>
          <cell r="EY102">
            <v>0</v>
          </cell>
          <cell r="EZ102">
            <v>82765.550018481459</v>
          </cell>
        </row>
        <row r="103">
          <cell r="C103" t="str">
            <v>Hardwick Primary School</v>
          </cell>
          <cell r="D103">
            <v>3544</v>
          </cell>
          <cell r="F103" t="str">
            <v/>
          </cell>
          <cell r="G103">
            <v>0</v>
          </cell>
          <cell r="H103">
            <v>31920</v>
          </cell>
          <cell r="I103">
            <v>0</v>
          </cell>
          <cell r="J103">
            <v>0</v>
          </cell>
          <cell r="L103">
            <v>111606.08522696276</v>
          </cell>
          <cell r="M103">
            <v>31920</v>
          </cell>
          <cell r="N103">
            <v>33.6</v>
          </cell>
          <cell r="S103">
            <v>0</v>
          </cell>
          <cell r="T103">
            <v>0</v>
          </cell>
          <cell r="U103">
            <v>60</v>
          </cell>
          <cell r="Y103">
            <v>60</v>
          </cell>
          <cell r="Z103">
            <v>60</v>
          </cell>
          <cell r="AA103">
            <v>87</v>
          </cell>
          <cell r="AB103">
            <v>90</v>
          </cell>
          <cell r="AC103">
            <v>89</v>
          </cell>
          <cell r="AD103">
            <v>86</v>
          </cell>
          <cell r="AK103">
            <v>1372841.0157693299</v>
          </cell>
          <cell r="AL103">
            <v>532</v>
          </cell>
          <cell r="BS103">
            <v>20657.255999999998</v>
          </cell>
          <cell r="BT103">
            <v>0</v>
          </cell>
          <cell r="BU103">
            <v>5570.4960000000001</v>
          </cell>
          <cell r="BV103">
            <v>0</v>
          </cell>
          <cell r="BW103">
            <v>0</v>
          </cell>
          <cell r="BX103">
            <v>-15115.216699908138</v>
          </cell>
          <cell r="BY103">
            <v>0</v>
          </cell>
          <cell r="BZ103">
            <v>1003.8498</v>
          </cell>
          <cell r="CA103">
            <v>0</v>
          </cell>
          <cell r="CB103">
            <v>0</v>
          </cell>
          <cell r="CC103">
            <v>0</v>
          </cell>
          <cell r="CD103">
            <v>0</v>
          </cell>
          <cell r="CE103">
            <v>12116.385100091858</v>
          </cell>
          <cell r="CF103">
            <v>22680.611130037629</v>
          </cell>
          <cell r="CI103">
            <v>0</v>
          </cell>
          <cell r="CJ103">
            <v>0</v>
          </cell>
          <cell r="CK103">
            <v>10798</v>
          </cell>
          <cell r="CL103">
            <v>5553.874653789635</v>
          </cell>
          <cell r="CM103">
            <v>39032.485783827266</v>
          </cell>
          <cell r="CQ103">
            <v>37324.817012858555</v>
          </cell>
          <cell r="CR103">
            <v>96667.25</v>
          </cell>
          <cell r="CS103">
            <v>89119.599726705215</v>
          </cell>
          <cell r="CT103">
            <v>223111.66673956375</v>
          </cell>
          <cell r="CU103">
            <v>11011.875420409518</v>
          </cell>
          <cell r="CV103">
            <v>0</v>
          </cell>
          <cell r="CW103">
            <v>11011.875420409518</v>
          </cell>
          <cell r="CX103">
            <v>0</v>
          </cell>
          <cell r="CZ103">
            <v>0</v>
          </cell>
          <cell r="DC103">
            <v>0</v>
          </cell>
          <cell r="DD103">
            <v>199514.24828033752</v>
          </cell>
          <cell r="DE103">
            <v>349940.02273721033</v>
          </cell>
          <cell r="DF103">
            <v>10273.40909703141</v>
          </cell>
          <cell r="DG103">
            <v>0</v>
          </cell>
          <cell r="DH103">
            <v>0</v>
          </cell>
          <cell r="DI103">
            <v>559727.68011457927</v>
          </cell>
          <cell r="DJ103">
            <v>0</v>
          </cell>
          <cell r="DK103">
            <v>67784</v>
          </cell>
          <cell r="DL103">
            <v>4029.51</v>
          </cell>
          <cell r="DM103">
            <v>70073.495851086889</v>
          </cell>
          <cell r="DN103">
            <v>0</v>
          </cell>
          <cell r="DO103">
            <v>0</v>
          </cell>
          <cell r="DP103">
            <v>0</v>
          </cell>
          <cell r="DQ103">
            <v>141887.00585108687</v>
          </cell>
          <cell r="DR103">
            <v>119337.89101997581</v>
          </cell>
          <cell r="DS103">
            <v>0</v>
          </cell>
          <cell r="DT103">
            <v>20229.898887368596</v>
          </cell>
          <cell r="DU103">
            <v>0</v>
          </cell>
          <cell r="DV103">
            <v>0</v>
          </cell>
          <cell r="DW103">
            <v>0</v>
          </cell>
          <cell r="DX103">
            <v>139567.78990734441</v>
          </cell>
          <cell r="DY103">
            <v>14705.277490804734</v>
          </cell>
          <cell r="DZ103">
            <v>0</v>
          </cell>
          <cell r="EA103">
            <v>0</v>
          </cell>
          <cell r="EB103">
            <v>14705.277490804734</v>
          </cell>
          <cell r="EE103">
            <v>0</v>
          </cell>
          <cell r="EH103">
            <v>0</v>
          </cell>
          <cell r="EI103">
            <v>0</v>
          </cell>
          <cell r="EK103">
            <v>0</v>
          </cell>
          <cell r="EL103">
            <v>10137</v>
          </cell>
          <cell r="EM103">
            <v>0</v>
          </cell>
          <cell r="EO103">
            <v>10137</v>
          </cell>
          <cell r="EP103">
            <v>0</v>
          </cell>
          <cell r="EQ103">
            <v>123722.47032705462</v>
          </cell>
          <cell r="ER103">
            <v>2635744.2674040003</v>
          </cell>
          <cell r="ET103">
            <v>565.6</v>
          </cell>
          <cell r="EU103">
            <v>4660.0853384087695</v>
          </cell>
          <cell r="EV103" t="str">
            <v>No Variation Applied</v>
          </cell>
          <cell r="EW103">
            <v>115200</v>
          </cell>
          <cell r="EX103">
            <v>0</v>
          </cell>
          <cell r="EY103">
            <v>0</v>
          </cell>
          <cell r="EZ103">
            <v>398385.3839322807</v>
          </cell>
        </row>
        <row r="104">
          <cell r="C104" t="str">
            <v>Village Primary School</v>
          </cell>
          <cell r="D104">
            <v>3546</v>
          </cell>
          <cell r="F104" t="str">
            <v/>
          </cell>
          <cell r="G104">
            <v>0</v>
          </cell>
          <cell r="H104">
            <v>44460</v>
          </cell>
          <cell r="I104">
            <v>0</v>
          </cell>
          <cell r="J104">
            <v>0</v>
          </cell>
          <cell r="L104">
            <v>155451.33299469814</v>
          </cell>
          <cell r="M104">
            <v>44460</v>
          </cell>
          <cell r="N104">
            <v>46.8</v>
          </cell>
          <cell r="S104">
            <v>0</v>
          </cell>
          <cell r="T104">
            <v>0</v>
          </cell>
          <cell r="U104">
            <v>75</v>
          </cell>
          <cell r="Y104">
            <v>75</v>
          </cell>
          <cell r="Z104">
            <v>75</v>
          </cell>
          <cell r="AA104">
            <v>69</v>
          </cell>
          <cell r="AB104">
            <v>75</v>
          </cell>
          <cell r="AC104">
            <v>58</v>
          </cell>
          <cell r="AD104">
            <v>73</v>
          </cell>
          <cell r="AK104">
            <v>1292116.2534583374</v>
          </cell>
          <cell r="AL104">
            <v>500</v>
          </cell>
          <cell r="BS104">
            <v>22165.931999999997</v>
          </cell>
          <cell r="BT104">
            <v>0</v>
          </cell>
          <cell r="BU104">
            <v>3017.3519999999999</v>
          </cell>
          <cell r="BV104">
            <v>0</v>
          </cell>
          <cell r="BW104">
            <v>0</v>
          </cell>
          <cell r="BX104">
            <v>-13637.573399999994</v>
          </cell>
          <cell r="BY104">
            <v>0</v>
          </cell>
          <cell r="BZ104">
            <v>3011.5493999999999</v>
          </cell>
          <cell r="CA104">
            <v>0</v>
          </cell>
          <cell r="CB104">
            <v>0</v>
          </cell>
          <cell r="CC104">
            <v>0</v>
          </cell>
          <cell r="CD104">
            <v>0</v>
          </cell>
          <cell r="CE104">
            <v>14557.260000000002</v>
          </cell>
          <cell r="CF104">
            <v>34020.916695056439</v>
          </cell>
          <cell r="CI104">
            <v>0</v>
          </cell>
          <cell r="CJ104">
            <v>0</v>
          </cell>
          <cell r="CK104">
            <v>10148.5</v>
          </cell>
          <cell r="CL104">
            <v>4882.4848878829562</v>
          </cell>
          <cell r="CM104">
            <v>49051.901582939397</v>
          </cell>
          <cell r="CQ104">
            <v>5332.1167161226504</v>
          </cell>
          <cell r="CR104">
            <v>37179.71</v>
          </cell>
          <cell r="CS104">
            <v>37385.77312798291</v>
          </cell>
          <cell r="CT104">
            <v>79897.599844105556</v>
          </cell>
          <cell r="CU104">
            <v>34662.380584698149</v>
          </cell>
          <cell r="CV104">
            <v>0</v>
          </cell>
          <cell r="CW104">
            <v>34662.380584698149</v>
          </cell>
          <cell r="CX104">
            <v>0</v>
          </cell>
          <cell r="CZ104">
            <v>0</v>
          </cell>
          <cell r="DC104">
            <v>0</v>
          </cell>
          <cell r="DD104">
            <v>293247.15995672345</v>
          </cell>
          <cell r="DE104">
            <v>287182.74770441628</v>
          </cell>
          <cell r="DF104">
            <v>9417.2916722787922</v>
          </cell>
          <cell r="DG104">
            <v>0</v>
          </cell>
          <cell r="DH104">
            <v>0</v>
          </cell>
          <cell r="DI104">
            <v>589847.19933341851</v>
          </cell>
          <cell r="DJ104">
            <v>0</v>
          </cell>
          <cell r="DK104">
            <v>76028</v>
          </cell>
          <cell r="DL104">
            <v>4320.46</v>
          </cell>
          <cell r="DM104">
            <v>70073.495851086889</v>
          </cell>
          <cell r="DN104">
            <v>0</v>
          </cell>
          <cell r="DO104">
            <v>0</v>
          </cell>
          <cell r="DP104">
            <v>0</v>
          </cell>
          <cell r="DQ104">
            <v>150421.95585108688</v>
          </cell>
          <cell r="DR104">
            <v>0</v>
          </cell>
          <cell r="DS104">
            <v>0</v>
          </cell>
          <cell r="DT104">
            <v>0</v>
          </cell>
          <cell r="DU104">
            <v>0</v>
          </cell>
          <cell r="DV104">
            <v>0</v>
          </cell>
          <cell r="DW104">
            <v>0</v>
          </cell>
          <cell r="DX104">
            <v>0</v>
          </cell>
          <cell r="DY104">
            <v>7189.2467732823143</v>
          </cell>
          <cell r="DZ104">
            <v>0</v>
          </cell>
          <cell r="EA104">
            <v>0</v>
          </cell>
          <cell r="EB104">
            <v>7189.2467732823143</v>
          </cell>
          <cell r="EE104">
            <v>0</v>
          </cell>
          <cell r="EH104">
            <v>0</v>
          </cell>
          <cell r="EI104">
            <v>0</v>
          </cell>
          <cell r="EK104">
            <v>0</v>
          </cell>
          <cell r="EL104">
            <v>4129</v>
          </cell>
          <cell r="EM104">
            <v>0</v>
          </cell>
          <cell r="EO104">
            <v>4129</v>
          </cell>
          <cell r="EP104">
            <v>87191.508033495862</v>
          </cell>
          <cell r="EQ104">
            <v>170008.59299469815</v>
          </cell>
          <cell r="ER104">
            <v>2464515.6384560624</v>
          </cell>
          <cell r="ET104">
            <v>546.79999999999995</v>
          </cell>
          <cell r="EU104">
            <v>4507.1610066862886</v>
          </cell>
          <cell r="EV104" t="str">
            <v>No Variation Applied</v>
          </cell>
          <cell r="EW104">
            <v>145950</v>
          </cell>
          <cell r="EX104">
            <v>0</v>
          </cell>
          <cell r="EY104">
            <v>0</v>
          </cell>
          <cell r="EZ104">
            <v>414028.76277118706</v>
          </cell>
        </row>
        <row r="105">
          <cell r="C105" t="str">
            <v>Borrow Wood Primary School</v>
          </cell>
          <cell r="D105">
            <v>5201</v>
          </cell>
          <cell r="F105" t="str">
            <v/>
          </cell>
          <cell r="G105">
            <v>0</v>
          </cell>
          <cell r="H105">
            <v>29460</v>
          </cell>
          <cell r="I105">
            <v>0</v>
          </cell>
          <cell r="J105">
            <v>0</v>
          </cell>
          <cell r="L105">
            <v>103004.86437300511</v>
          </cell>
          <cell r="M105">
            <v>29460</v>
          </cell>
          <cell r="N105">
            <v>31.010526315789473</v>
          </cell>
          <cell r="S105">
            <v>0</v>
          </cell>
          <cell r="T105">
            <v>0</v>
          </cell>
          <cell r="U105">
            <v>60</v>
          </cell>
          <cell r="Y105">
            <v>59</v>
          </cell>
          <cell r="Z105">
            <v>53</v>
          </cell>
          <cell r="AA105">
            <v>53</v>
          </cell>
          <cell r="AB105">
            <v>38</v>
          </cell>
          <cell r="AC105">
            <v>54</v>
          </cell>
          <cell r="AD105">
            <v>45</v>
          </cell>
          <cell r="AK105">
            <v>937011.27292224672</v>
          </cell>
          <cell r="AL105">
            <v>362</v>
          </cell>
          <cell r="BS105">
            <v>2088.9360000000001</v>
          </cell>
          <cell r="BT105">
            <v>0</v>
          </cell>
          <cell r="BU105">
            <v>0</v>
          </cell>
          <cell r="BV105">
            <v>0</v>
          </cell>
          <cell r="BW105">
            <v>0</v>
          </cell>
          <cell r="BX105">
            <v>3346.0338121711393</v>
          </cell>
          <cell r="BY105">
            <v>0</v>
          </cell>
          <cell r="BZ105">
            <v>1003.8498</v>
          </cell>
          <cell r="CA105">
            <v>0</v>
          </cell>
          <cell r="CB105">
            <v>0</v>
          </cell>
          <cell r="CC105">
            <v>0</v>
          </cell>
          <cell r="CD105">
            <v>0</v>
          </cell>
          <cell r="CE105">
            <v>6438.8196121711389</v>
          </cell>
          <cell r="CF105">
            <v>22680.611130037629</v>
          </cell>
          <cell r="CI105">
            <v>0</v>
          </cell>
          <cell r="CJ105">
            <v>0</v>
          </cell>
          <cell r="CK105">
            <v>7347.51</v>
          </cell>
          <cell r="CL105">
            <v>6290.6720186671655</v>
          </cell>
          <cell r="CM105">
            <v>36318.793148704797</v>
          </cell>
          <cell r="CQ105">
            <v>1523.4619188921858</v>
          </cell>
          <cell r="CR105">
            <v>0</v>
          </cell>
          <cell r="CS105">
            <v>606.25578045377688</v>
          </cell>
          <cell r="CT105">
            <v>2129.7176993459625</v>
          </cell>
          <cell r="CU105">
            <v>15516.733546940686</v>
          </cell>
          <cell r="CV105">
            <v>0</v>
          </cell>
          <cell r="CW105">
            <v>15516.733546940686</v>
          </cell>
          <cell r="CX105">
            <v>0</v>
          </cell>
          <cell r="CZ105">
            <v>0</v>
          </cell>
          <cell r="DC105">
            <v>0</v>
          </cell>
          <cell r="DD105">
            <v>47515.330620093686</v>
          </cell>
          <cell r="DE105">
            <v>24329.813146771608</v>
          </cell>
          <cell r="DF105">
            <v>5992.8219732683219</v>
          </cell>
          <cell r="DG105">
            <v>0</v>
          </cell>
          <cell r="DH105">
            <v>0</v>
          </cell>
          <cell r="DI105">
            <v>77837.965740133615</v>
          </cell>
          <cell r="DJ105">
            <v>0</v>
          </cell>
          <cell r="DK105">
            <v>10396.6</v>
          </cell>
          <cell r="DL105">
            <v>6794.99</v>
          </cell>
          <cell r="DM105">
            <v>70073.495851086889</v>
          </cell>
          <cell r="DN105">
            <v>0</v>
          </cell>
          <cell r="DO105">
            <v>0</v>
          </cell>
          <cell r="DP105">
            <v>0</v>
          </cell>
          <cell r="DQ105">
            <v>87265.085851086886</v>
          </cell>
          <cell r="DR105">
            <v>0</v>
          </cell>
          <cell r="DS105">
            <v>0</v>
          </cell>
          <cell r="DT105">
            <v>0</v>
          </cell>
          <cell r="DU105">
            <v>0</v>
          </cell>
          <cell r="DV105">
            <v>0</v>
          </cell>
          <cell r="DW105">
            <v>0</v>
          </cell>
          <cell r="DX105">
            <v>0</v>
          </cell>
          <cell r="DY105">
            <v>6535.6788848021042</v>
          </cell>
          <cell r="DZ105">
            <v>1250.2077794680429</v>
          </cell>
          <cell r="EA105">
            <v>0</v>
          </cell>
          <cell r="EB105">
            <v>7785.8866642701469</v>
          </cell>
          <cell r="EE105">
            <v>0</v>
          </cell>
          <cell r="EH105">
            <v>0</v>
          </cell>
          <cell r="EI105">
            <v>9986.6869999999999</v>
          </cell>
          <cell r="EK105">
            <v>0</v>
          </cell>
          <cell r="EL105">
            <v>4254</v>
          </cell>
          <cell r="EM105">
            <v>0</v>
          </cell>
          <cell r="EO105">
            <v>14240.687</v>
          </cell>
          <cell r="EP105">
            <v>22237.158821712481</v>
          </cell>
          <cell r="EQ105">
            <v>109443.68398517625</v>
          </cell>
          <cell r="ER105">
            <v>1309786.9853796172</v>
          </cell>
          <cell r="ET105">
            <v>393.01052631578949</v>
          </cell>
          <cell r="EU105">
            <v>3332.7020465787346</v>
          </cell>
          <cell r="EV105" t="str">
            <v>No Variation Applied</v>
          </cell>
          <cell r="EW105">
            <v>32400</v>
          </cell>
          <cell r="EX105">
            <v>0</v>
          </cell>
          <cell r="EY105">
            <v>0</v>
          </cell>
          <cell r="EZ105">
            <v>93271.572647688154</v>
          </cell>
        </row>
        <row r="106">
          <cell r="C106" t="str">
            <v>Chellaston Junior School</v>
          </cell>
          <cell r="D106">
            <v>5203</v>
          </cell>
          <cell r="F106" t="str">
            <v/>
          </cell>
          <cell r="G106">
            <v>0</v>
          </cell>
          <cell r="H106">
            <v>0</v>
          </cell>
          <cell r="I106">
            <v>0</v>
          </cell>
          <cell r="J106">
            <v>0</v>
          </cell>
          <cell r="L106">
            <v>0</v>
          </cell>
          <cell r="M106">
            <v>0</v>
          </cell>
          <cell r="N106">
            <v>0</v>
          </cell>
          <cell r="S106">
            <v>0</v>
          </cell>
          <cell r="T106">
            <v>0</v>
          </cell>
          <cell r="U106">
            <v>0</v>
          </cell>
          <cell r="Y106">
            <v>0</v>
          </cell>
          <cell r="Z106">
            <v>0</v>
          </cell>
          <cell r="AA106">
            <v>120</v>
          </cell>
          <cell r="AB106">
            <v>120</v>
          </cell>
          <cell r="AC106">
            <v>121</v>
          </cell>
          <cell r="AD106">
            <v>120</v>
          </cell>
          <cell r="AK106">
            <v>1235834.8049566618</v>
          </cell>
          <cell r="AL106">
            <v>481</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I106">
            <v>0</v>
          </cell>
          <cell r="CJ106">
            <v>8323.43</v>
          </cell>
          <cell r="CK106">
            <v>9762.86</v>
          </cell>
          <cell r="CL106">
            <v>10680.676161357831</v>
          </cell>
          <cell r="CM106">
            <v>28766.966161357832</v>
          </cell>
          <cell r="CQ106">
            <v>2285.1928783382787</v>
          </cell>
          <cell r="CR106">
            <v>4622.34</v>
          </cell>
          <cell r="CS106">
            <v>8487.5809263528772</v>
          </cell>
          <cell r="CT106">
            <v>15395.113804691156</v>
          </cell>
          <cell r="CU106">
            <v>21773.480944900642</v>
          </cell>
          <cell r="CV106">
            <v>0</v>
          </cell>
          <cell r="CW106">
            <v>21773.480944900642</v>
          </cell>
          <cell r="CX106">
            <v>0</v>
          </cell>
          <cell r="CZ106">
            <v>0</v>
          </cell>
          <cell r="DC106">
            <v>0</v>
          </cell>
          <cell r="DD106">
            <v>71494.203242152144</v>
          </cell>
          <cell r="DE106">
            <v>39109.606179857161</v>
          </cell>
          <cell r="DF106">
            <v>6848.9393980209397</v>
          </cell>
          <cell r="DG106">
            <v>0</v>
          </cell>
          <cell r="DH106">
            <v>0</v>
          </cell>
          <cell r="DI106">
            <v>117452.74882003025</v>
          </cell>
          <cell r="DJ106">
            <v>9676.9500000000007</v>
          </cell>
          <cell r="DK106">
            <v>4442.6000000000004</v>
          </cell>
          <cell r="DL106">
            <v>5922.89</v>
          </cell>
          <cell r="DM106">
            <v>70073.495851086889</v>
          </cell>
          <cell r="DN106">
            <v>0</v>
          </cell>
          <cell r="DO106">
            <v>0</v>
          </cell>
          <cell r="DP106">
            <v>0</v>
          </cell>
          <cell r="DQ106">
            <v>90115.935851086891</v>
          </cell>
          <cell r="DR106">
            <v>0</v>
          </cell>
          <cell r="DS106">
            <v>0</v>
          </cell>
          <cell r="DT106">
            <v>0</v>
          </cell>
          <cell r="DU106">
            <v>0</v>
          </cell>
          <cell r="DV106">
            <v>0</v>
          </cell>
          <cell r="DW106">
            <v>0</v>
          </cell>
          <cell r="DX106">
            <v>0</v>
          </cell>
          <cell r="DY106">
            <v>3921.4073308812622</v>
          </cell>
          <cell r="DZ106">
            <v>1661.1876848732834</v>
          </cell>
          <cell r="EA106">
            <v>0</v>
          </cell>
          <cell r="EB106">
            <v>5582.5950157545458</v>
          </cell>
          <cell r="EE106">
            <v>0</v>
          </cell>
          <cell r="EH106">
            <v>0</v>
          </cell>
          <cell r="EI106">
            <v>13988.362700000005</v>
          </cell>
          <cell r="EK106">
            <v>0</v>
          </cell>
          <cell r="EL106">
            <v>2002</v>
          </cell>
          <cell r="EM106">
            <v>0</v>
          </cell>
          <cell r="EO106">
            <v>15990.362700000005</v>
          </cell>
          <cell r="EP106">
            <v>0</v>
          </cell>
          <cell r="EQ106">
            <v>0</v>
          </cell>
          <cell r="ER106">
            <v>1530912.0082544829</v>
          </cell>
          <cell r="ET106">
            <v>481</v>
          </cell>
          <cell r="EU106">
            <v>3182.7692479303178</v>
          </cell>
          <cell r="EV106" t="str">
            <v>No Variation Applied</v>
          </cell>
          <cell r="EW106">
            <v>51600</v>
          </cell>
          <cell r="EX106">
            <v>0</v>
          </cell>
          <cell r="EY106">
            <v>0</v>
          </cell>
          <cell r="EZ106">
            <v>131120.5851469879</v>
          </cell>
        </row>
        <row r="107">
          <cell r="C107" t="str">
            <v>Shelton Junior School</v>
          </cell>
          <cell r="D107">
            <v>5209</v>
          </cell>
          <cell r="F107" t="str">
            <v/>
          </cell>
          <cell r="G107">
            <v>0</v>
          </cell>
          <cell r="H107">
            <v>0</v>
          </cell>
          <cell r="I107">
            <v>0</v>
          </cell>
          <cell r="J107">
            <v>0</v>
          </cell>
          <cell r="L107">
            <v>0</v>
          </cell>
          <cell r="M107">
            <v>0</v>
          </cell>
          <cell r="N107">
            <v>0</v>
          </cell>
          <cell r="S107">
            <v>0</v>
          </cell>
          <cell r="T107">
            <v>0</v>
          </cell>
          <cell r="U107">
            <v>0</v>
          </cell>
          <cell r="Y107">
            <v>0</v>
          </cell>
          <cell r="Z107">
            <v>0</v>
          </cell>
          <cell r="AA107">
            <v>72</v>
          </cell>
          <cell r="AB107">
            <v>69</v>
          </cell>
          <cell r="AC107">
            <v>69</v>
          </cell>
          <cell r="AD107">
            <v>59</v>
          </cell>
          <cell r="AK107">
            <v>691142.54164935963</v>
          </cell>
          <cell r="AL107">
            <v>269</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I107">
            <v>0</v>
          </cell>
          <cell r="CJ107">
            <v>4654.8900000000003</v>
          </cell>
          <cell r="CK107">
            <v>5459.89</v>
          </cell>
          <cell r="CL107">
            <v>3216.5148670371559</v>
          </cell>
          <cell r="CM107">
            <v>13331.294867037157</v>
          </cell>
          <cell r="CQ107">
            <v>761.73095944609292</v>
          </cell>
          <cell r="CR107">
            <v>1808.74</v>
          </cell>
          <cell r="CS107">
            <v>5456.3020240839924</v>
          </cell>
          <cell r="CT107">
            <v>8026.7729835300852</v>
          </cell>
          <cell r="CU107">
            <v>4379.7231785719678</v>
          </cell>
          <cell r="CV107">
            <v>0</v>
          </cell>
          <cell r="CW107">
            <v>4379.7231785719678</v>
          </cell>
          <cell r="CX107">
            <v>0</v>
          </cell>
          <cell r="CZ107">
            <v>0</v>
          </cell>
          <cell r="DC107">
            <v>0</v>
          </cell>
          <cell r="DD107">
            <v>97581.918905387938</v>
          </cell>
          <cell r="DE107">
            <v>107778.79842588544</v>
          </cell>
          <cell r="DF107">
            <v>8561.1742475261744</v>
          </cell>
          <cell r="DG107">
            <v>0</v>
          </cell>
          <cell r="DH107">
            <v>0</v>
          </cell>
          <cell r="DI107">
            <v>213921.89157879955</v>
          </cell>
          <cell r="DJ107">
            <v>4468.0600000000004</v>
          </cell>
          <cell r="DK107">
            <v>2312.9</v>
          </cell>
          <cell r="DL107">
            <v>5139.75</v>
          </cell>
          <cell r="DM107">
            <v>70073.495851086889</v>
          </cell>
          <cell r="DN107">
            <v>0</v>
          </cell>
          <cell r="DO107">
            <v>0</v>
          </cell>
          <cell r="DP107">
            <v>0</v>
          </cell>
          <cell r="DQ107">
            <v>81994.205851086896</v>
          </cell>
          <cell r="DR107">
            <v>0</v>
          </cell>
          <cell r="DS107">
            <v>0</v>
          </cell>
          <cell r="DT107">
            <v>0</v>
          </cell>
          <cell r="DU107">
            <v>0</v>
          </cell>
          <cell r="DV107">
            <v>0</v>
          </cell>
          <cell r="DW107">
            <v>0</v>
          </cell>
          <cell r="DX107">
            <v>0</v>
          </cell>
          <cell r="DY107">
            <v>2941.0554981609466</v>
          </cell>
          <cell r="DZ107">
            <v>929.02180297487155</v>
          </cell>
          <cell r="EA107">
            <v>0</v>
          </cell>
          <cell r="EB107">
            <v>3870.0773011358183</v>
          </cell>
          <cell r="EE107">
            <v>0</v>
          </cell>
          <cell r="EH107">
            <v>0</v>
          </cell>
          <cell r="EI107">
            <v>0</v>
          </cell>
          <cell r="EK107">
            <v>0</v>
          </cell>
          <cell r="EL107">
            <v>0</v>
          </cell>
          <cell r="EM107">
            <v>0</v>
          </cell>
          <cell r="EO107">
            <v>0</v>
          </cell>
          <cell r="EP107">
            <v>0</v>
          </cell>
          <cell r="EQ107">
            <v>0</v>
          </cell>
          <cell r="ER107">
            <v>1016666.5074095213</v>
          </cell>
          <cell r="ET107">
            <v>269</v>
          </cell>
          <cell r="EU107">
            <v>3779.4293955744283</v>
          </cell>
          <cell r="EV107" t="str">
            <v>No Variation Applied</v>
          </cell>
          <cell r="EW107">
            <v>69250</v>
          </cell>
          <cell r="EX107">
            <v>0</v>
          </cell>
          <cell r="EY107">
            <v>0</v>
          </cell>
          <cell r="EZ107">
            <v>127317.2549385211</v>
          </cell>
        </row>
        <row r="109">
          <cell r="A109" t="str">
            <v>Middle Deemed Primary Schools</v>
          </cell>
        </row>
        <row r="110">
          <cell r="L110">
            <v>0</v>
          </cell>
          <cell r="M110">
            <v>0</v>
          </cell>
          <cell r="N110">
            <v>0</v>
          </cell>
          <cell r="S110">
            <v>0</v>
          </cell>
          <cell r="T110">
            <v>0</v>
          </cell>
          <cell r="AK110">
            <v>0</v>
          </cell>
          <cell r="AL110">
            <v>0</v>
          </cell>
          <cell r="CE110">
            <v>0</v>
          </cell>
          <cell r="CM110">
            <v>0</v>
          </cell>
          <cell r="CT110">
            <v>0</v>
          </cell>
          <cell r="CW110">
            <v>0</v>
          </cell>
          <cell r="CZ110">
            <v>0</v>
          </cell>
          <cell r="DC110">
            <v>0</v>
          </cell>
          <cell r="DI110">
            <v>0</v>
          </cell>
          <cell r="DQ110">
            <v>0</v>
          </cell>
          <cell r="DX110">
            <v>0</v>
          </cell>
          <cell r="EB110">
            <v>0</v>
          </cell>
          <cell r="EE110">
            <v>0</v>
          </cell>
          <cell r="EH110">
            <v>0</v>
          </cell>
          <cell r="EO110">
            <v>0</v>
          </cell>
          <cell r="EQ110">
            <v>0</v>
          </cell>
          <cell r="ER110">
            <v>0</v>
          </cell>
          <cell r="ET110">
            <v>0</v>
          </cell>
          <cell r="EU110">
            <v>0</v>
          </cell>
        </row>
        <row r="112">
          <cell r="B112" t="str">
            <v>Total/average Primary Schools</v>
          </cell>
          <cell r="G112">
            <v>0</v>
          </cell>
          <cell r="H112">
            <v>1151748</v>
          </cell>
          <cell r="I112">
            <v>0</v>
          </cell>
          <cell r="J112">
            <v>0</v>
          </cell>
          <cell r="K112">
            <v>0</v>
          </cell>
          <cell r="L112">
            <v>4027007.6894731792</v>
          </cell>
          <cell r="M112">
            <v>1151748</v>
          </cell>
          <cell r="N112">
            <v>1212.3663157894737</v>
          </cell>
          <cell r="O112">
            <v>0</v>
          </cell>
          <cell r="P112">
            <v>0</v>
          </cell>
          <cell r="Q112">
            <v>0</v>
          </cell>
          <cell r="R112">
            <v>0</v>
          </cell>
          <cell r="S112">
            <v>0</v>
          </cell>
          <cell r="T112">
            <v>0</v>
          </cell>
          <cell r="U112">
            <v>3073</v>
          </cell>
          <cell r="V112">
            <v>0</v>
          </cell>
          <cell r="W112">
            <v>0</v>
          </cell>
          <cell r="X112">
            <v>0</v>
          </cell>
          <cell r="Y112">
            <v>2984</v>
          </cell>
          <cell r="Z112">
            <v>2902</v>
          </cell>
          <cell r="AA112">
            <v>2904</v>
          </cell>
          <cell r="AB112">
            <v>2754</v>
          </cell>
          <cell r="AC112">
            <v>2703</v>
          </cell>
          <cell r="AD112">
            <v>2705</v>
          </cell>
          <cell r="AE112">
            <v>0</v>
          </cell>
          <cell r="AF112">
            <v>0</v>
          </cell>
          <cell r="AG112">
            <v>0</v>
          </cell>
          <cell r="AH112">
            <v>0</v>
          </cell>
          <cell r="AI112">
            <v>0</v>
          </cell>
          <cell r="AJ112">
            <v>0</v>
          </cell>
          <cell r="AK112">
            <v>51787081.491367385</v>
          </cell>
          <cell r="AL112">
            <v>20025</v>
          </cell>
          <cell r="BS112">
            <v>388178.46639999986</v>
          </cell>
          <cell r="BT112">
            <v>0</v>
          </cell>
          <cell r="BU112">
            <v>47898.528800000007</v>
          </cell>
          <cell r="BV112">
            <v>0</v>
          </cell>
          <cell r="BW112">
            <v>0</v>
          </cell>
          <cell r="BX112">
            <v>-95834.351361229812</v>
          </cell>
          <cell r="BY112">
            <v>0</v>
          </cell>
          <cell r="BZ112">
            <v>86331.082799999989</v>
          </cell>
          <cell r="CA112">
            <v>0</v>
          </cell>
          <cell r="CB112">
            <v>0</v>
          </cell>
          <cell r="CC112">
            <v>0</v>
          </cell>
          <cell r="CD112">
            <v>0</v>
          </cell>
          <cell r="CE112">
            <v>426573.72663877008</v>
          </cell>
          <cell r="CF112">
            <v>1338156.0566722197</v>
          </cell>
          <cell r="CG112">
            <v>0</v>
          </cell>
          <cell r="CH112">
            <v>0</v>
          </cell>
          <cell r="CI112">
            <v>0</v>
          </cell>
          <cell r="CJ112">
            <v>25091.43</v>
          </cell>
          <cell r="CK112">
            <v>406447.36000000016</v>
          </cell>
          <cell r="CL112">
            <v>224308.30690986101</v>
          </cell>
          <cell r="CM112">
            <v>1994003.1535820803</v>
          </cell>
          <cell r="CQ112">
            <v>541590.71216617187</v>
          </cell>
          <cell r="CR112">
            <v>786602.1399999999</v>
          </cell>
          <cell r="CS112">
            <v>815818.19523063255</v>
          </cell>
          <cell r="CT112">
            <v>2144011.0473968037</v>
          </cell>
          <cell r="CU112">
            <v>617465.88720987237</v>
          </cell>
          <cell r="CV112">
            <v>72077.730024498669</v>
          </cell>
          <cell r="CW112">
            <v>689543.6172343709</v>
          </cell>
          <cell r="CX112">
            <v>2353496.168027265</v>
          </cell>
          <cell r="CY112">
            <v>0</v>
          </cell>
          <cell r="CZ112">
            <v>2353496.168027265</v>
          </cell>
          <cell r="DA112">
            <v>0</v>
          </cell>
          <cell r="DB112">
            <v>0</v>
          </cell>
          <cell r="DC112">
            <v>0</v>
          </cell>
          <cell r="DD112">
            <v>6642029.7390771173</v>
          </cell>
          <cell r="DE112">
            <v>6240256.0000000028</v>
          </cell>
          <cell r="DF112">
            <v>539353.9775941493</v>
          </cell>
          <cell r="DG112">
            <v>0</v>
          </cell>
          <cell r="DH112">
            <v>0</v>
          </cell>
          <cell r="DI112">
            <v>13421639.716671266</v>
          </cell>
          <cell r="DJ112">
            <v>28835.33</v>
          </cell>
          <cell r="DK112">
            <v>1103902.7400000002</v>
          </cell>
          <cell r="DL112">
            <v>385040.63000000012</v>
          </cell>
          <cell r="DM112">
            <v>5091778.6013600025</v>
          </cell>
          <cell r="DN112">
            <v>0</v>
          </cell>
          <cell r="DO112">
            <v>0</v>
          </cell>
          <cell r="DP112">
            <v>0</v>
          </cell>
          <cell r="DQ112">
            <v>6609557.3013600055</v>
          </cell>
          <cell r="DR112">
            <v>268838.38087007642</v>
          </cell>
          <cell r="DS112">
            <v>0</v>
          </cell>
          <cell r="DT112">
            <v>31104.84474307199</v>
          </cell>
          <cell r="DU112">
            <v>0</v>
          </cell>
          <cell r="DV112">
            <v>0</v>
          </cell>
          <cell r="DW112">
            <v>0</v>
          </cell>
          <cell r="DX112">
            <v>299943.22561314842</v>
          </cell>
          <cell r="DY112">
            <v>406846.01057893108</v>
          </cell>
          <cell r="DZ112">
            <v>15365.122681915254</v>
          </cell>
          <cell r="EA112">
            <v>32313.418516252677</v>
          </cell>
          <cell r="EB112">
            <v>454524.55177709903</v>
          </cell>
          <cell r="EC112">
            <v>0</v>
          </cell>
          <cell r="ED112">
            <v>0</v>
          </cell>
          <cell r="EE112">
            <v>0</v>
          </cell>
          <cell r="EF112">
            <v>0</v>
          </cell>
          <cell r="EG112">
            <v>0</v>
          </cell>
          <cell r="EH112">
            <v>0</v>
          </cell>
          <cell r="EI112">
            <v>73232.580740000005</v>
          </cell>
          <cell r="EJ112">
            <v>0</v>
          </cell>
          <cell r="EK112">
            <v>0</v>
          </cell>
          <cell r="EL112">
            <v>312509</v>
          </cell>
          <cell r="EM112">
            <v>22184</v>
          </cell>
          <cell r="EN112">
            <v>0</v>
          </cell>
          <cell r="EO112">
            <v>407925.58074</v>
          </cell>
          <cell r="EP112">
            <v>990722.51514407375</v>
          </cell>
          <cell r="EQ112">
            <v>4453581.4161119508</v>
          </cell>
          <cell r="ER112">
            <v>85606029.785025463</v>
          </cell>
          <cell r="ET112">
            <v>21237.366315789473</v>
          </cell>
          <cell r="EU112">
            <v>4030.9155340688089</v>
          </cell>
          <cell r="EW112">
            <v>3641700</v>
          </cell>
          <cell r="EX112">
            <v>0</v>
          </cell>
          <cell r="EY112">
            <v>0</v>
          </cell>
          <cell r="EZ112">
            <v>12933618.800784685</v>
          </cell>
        </row>
        <row r="114">
          <cell r="A114" t="str">
            <v>Secondary Schools</v>
          </cell>
        </row>
        <row r="115">
          <cell r="C115" t="str">
            <v>Sinfin Community School</v>
          </cell>
          <cell r="D115">
            <v>4158</v>
          </cell>
          <cell r="F115" t="str">
            <v/>
          </cell>
          <cell r="G115">
            <v>0</v>
          </cell>
          <cell r="H115">
            <v>0</v>
          </cell>
          <cell r="I115">
            <v>0</v>
          </cell>
          <cell r="J115">
            <v>0</v>
          </cell>
          <cell r="L115">
            <v>0</v>
          </cell>
          <cell r="M115">
            <v>0</v>
          </cell>
          <cell r="N115">
            <v>0</v>
          </cell>
          <cell r="S115">
            <v>0</v>
          </cell>
          <cell r="T115">
            <v>0</v>
          </cell>
          <cell r="AW115">
            <v>158</v>
          </cell>
          <cell r="AX115">
            <v>217</v>
          </cell>
          <cell r="AY115">
            <v>208</v>
          </cell>
          <cell r="AZ115">
            <v>180</v>
          </cell>
          <cell r="BA115">
            <v>132</v>
          </cell>
          <cell r="BB115">
            <v>0</v>
          </cell>
          <cell r="BC115">
            <v>3121659.7636003783</v>
          </cell>
          <cell r="BD115">
            <v>895</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I115">
            <v>0</v>
          </cell>
          <cell r="CJ115">
            <v>0</v>
          </cell>
          <cell r="CK115">
            <v>27675.200000000001</v>
          </cell>
          <cell r="CL115">
            <v>10635.467967951507</v>
          </cell>
          <cell r="CM115">
            <v>38310.667967951507</v>
          </cell>
          <cell r="CN115">
            <v>0</v>
          </cell>
          <cell r="CO115">
            <v>0</v>
          </cell>
          <cell r="CP115">
            <v>0</v>
          </cell>
          <cell r="CQ115">
            <v>26660.583580613253</v>
          </cell>
          <cell r="CR115">
            <v>74979.622217422104</v>
          </cell>
          <cell r="CS115">
            <v>49043.306638249262</v>
          </cell>
          <cell r="CT115">
            <v>150683.51243628463</v>
          </cell>
          <cell r="CU115">
            <v>5826.492414329543</v>
          </cell>
          <cell r="CV115">
            <v>0</v>
          </cell>
          <cell r="CW115">
            <v>5826.492414329543</v>
          </cell>
          <cell r="CX115">
            <v>0</v>
          </cell>
          <cell r="CZ115">
            <v>0</v>
          </cell>
          <cell r="DC115">
            <v>0</v>
          </cell>
          <cell r="DD115">
            <v>309366.49522856972</v>
          </cell>
          <cell r="DE115">
            <v>316101.15560301358</v>
          </cell>
          <cell r="DF115">
            <v>59669.525040929933</v>
          </cell>
          <cell r="DG115">
            <v>351669.52085372945</v>
          </cell>
          <cell r="DH115">
            <v>28653.434986334571</v>
          </cell>
          <cell r="DI115">
            <v>1065460.1317125773</v>
          </cell>
          <cell r="DJ115">
            <v>0</v>
          </cell>
          <cell r="DK115">
            <v>17404</v>
          </cell>
          <cell r="DL115">
            <v>14712.544684989265</v>
          </cell>
          <cell r="DM115">
            <v>349775.30324456643</v>
          </cell>
          <cell r="DN115">
            <v>0</v>
          </cell>
          <cell r="DO115">
            <v>0</v>
          </cell>
          <cell r="DP115">
            <v>0</v>
          </cell>
          <cell r="DQ115">
            <v>381891.84792955569</v>
          </cell>
          <cell r="DR115">
            <v>0</v>
          </cell>
          <cell r="DS115">
            <v>0</v>
          </cell>
          <cell r="DT115">
            <v>0</v>
          </cell>
          <cell r="DU115">
            <v>0</v>
          </cell>
          <cell r="DV115">
            <v>0</v>
          </cell>
          <cell r="DW115">
            <v>0</v>
          </cell>
          <cell r="DX115">
            <v>0</v>
          </cell>
          <cell r="DY115">
            <v>53427.226659125365</v>
          </cell>
          <cell r="DZ115">
            <v>4682.6090626835021</v>
          </cell>
          <cell r="EA115">
            <v>0</v>
          </cell>
          <cell r="EB115">
            <v>58109.835721808864</v>
          </cell>
          <cell r="EE115">
            <v>0</v>
          </cell>
          <cell r="EH115">
            <v>0</v>
          </cell>
          <cell r="EI115">
            <v>7833.08025</v>
          </cell>
          <cell r="EK115">
            <v>0</v>
          </cell>
          <cell r="EL115">
            <v>56310.286654958778</v>
          </cell>
          <cell r="EM115">
            <v>0</v>
          </cell>
          <cell r="EO115">
            <v>64143.366904958777</v>
          </cell>
          <cell r="EP115">
            <v>749.30697459448129</v>
          </cell>
          <cell r="EQ115">
            <v>0</v>
          </cell>
          <cell r="ER115">
            <v>4886834.9256624393</v>
          </cell>
          <cell r="ES115">
            <v>0</v>
          </cell>
          <cell r="ET115">
            <v>895</v>
          </cell>
          <cell r="EU115">
            <v>5460.1507549300995</v>
          </cell>
          <cell r="EV115" t="str">
            <v>No Variation Applied</v>
          </cell>
          <cell r="EW115">
            <v>235000</v>
          </cell>
          <cell r="EX115">
            <v>0</v>
          </cell>
          <cell r="EY115">
            <v>0</v>
          </cell>
          <cell r="EZ115">
            <v>964286.66595578985</v>
          </cell>
        </row>
        <row r="116">
          <cell r="C116" t="str">
            <v>Bemrose School</v>
          </cell>
          <cell r="D116">
            <v>4177</v>
          </cell>
          <cell r="F116" t="str">
            <v/>
          </cell>
          <cell r="G116">
            <v>0</v>
          </cell>
          <cell r="H116">
            <v>0</v>
          </cell>
          <cell r="I116">
            <v>0</v>
          </cell>
          <cell r="J116">
            <v>0</v>
          </cell>
          <cell r="L116">
            <v>0</v>
          </cell>
          <cell r="M116">
            <v>0</v>
          </cell>
          <cell r="N116">
            <v>0</v>
          </cell>
          <cell r="S116">
            <v>0</v>
          </cell>
          <cell r="T116">
            <v>0</v>
          </cell>
          <cell r="AW116">
            <v>112</v>
          </cell>
          <cell r="AX116">
            <v>127</v>
          </cell>
          <cell r="AY116">
            <v>127</v>
          </cell>
          <cell r="AZ116">
            <v>166</v>
          </cell>
          <cell r="BA116">
            <v>114</v>
          </cell>
          <cell r="BB116">
            <v>0</v>
          </cell>
          <cell r="BC116">
            <v>2278563.4922423577</v>
          </cell>
          <cell r="BD116">
            <v>646</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I116">
            <v>0</v>
          </cell>
          <cell r="CJ116">
            <v>0</v>
          </cell>
          <cell r="CK116">
            <v>21181.58</v>
          </cell>
          <cell r="CL116">
            <v>5518.6058504229995</v>
          </cell>
          <cell r="CM116">
            <v>26700.185850423</v>
          </cell>
          <cell r="CN116">
            <v>0</v>
          </cell>
          <cell r="CO116">
            <v>0</v>
          </cell>
          <cell r="CP116">
            <v>0</v>
          </cell>
          <cell r="CQ116">
            <v>39610.009891196831</v>
          </cell>
          <cell r="CR116">
            <v>75391.598163671675</v>
          </cell>
          <cell r="CS116">
            <v>70322.427287076411</v>
          </cell>
          <cell r="CT116">
            <v>185324.03534194489</v>
          </cell>
          <cell r="CU116">
            <v>5826.492414329543</v>
          </cell>
          <cell r="CV116">
            <v>0</v>
          </cell>
          <cell r="CW116">
            <v>5826.492414329543</v>
          </cell>
          <cell r="CX116">
            <v>424905.67541130533</v>
          </cell>
          <cell r="CZ116">
            <v>424905.67541130533</v>
          </cell>
          <cell r="DC116">
            <v>0</v>
          </cell>
          <cell r="DD116">
            <v>286412.05177958042</v>
          </cell>
          <cell r="DE116">
            <v>296845.39787625318</v>
          </cell>
          <cell r="DF116">
            <v>49724.604200774949</v>
          </cell>
          <cell r="DG116">
            <v>373399.59026152932</v>
          </cell>
          <cell r="DH116">
            <v>26253.466008428906</v>
          </cell>
          <cell r="DI116">
            <v>1032635.1101265668</v>
          </cell>
          <cell r="DJ116">
            <v>0</v>
          </cell>
          <cell r="DK116">
            <v>18320</v>
          </cell>
          <cell r="DL116">
            <v>41653.876957218185</v>
          </cell>
          <cell r="DM116">
            <v>349775.30324456643</v>
          </cell>
          <cell r="DN116">
            <v>0</v>
          </cell>
          <cell r="DO116">
            <v>0</v>
          </cell>
          <cell r="DP116">
            <v>0</v>
          </cell>
          <cell r="DQ116">
            <v>409749.18020178459</v>
          </cell>
          <cell r="DR116">
            <v>0</v>
          </cell>
          <cell r="DS116">
            <v>0</v>
          </cell>
          <cell r="DT116">
            <v>0</v>
          </cell>
          <cell r="DU116">
            <v>0</v>
          </cell>
          <cell r="DV116">
            <v>0</v>
          </cell>
          <cell r="DW116">
            <v>0</v>
          </cell>
          <cell r="DX116">
            <v>0</v>
          </cell>
          <cell r="DY116">
            <v>59942.742105360165</v>
          </cell>
          <cell r="DZ116">
            <v>3583.8963217186579</v>
          </cell>
          <cell r="EA116">
            <v>25014.107810889549</v>
          </cell>
          <cell r="EB116">
            <v>88540.746237968371</v>
          </cell>
          <cell r="EE116">
            <v>0</v>
          </cell>
          <cell r="EH116">
            <v>0</v>
          </cell>
          <cell r="EI116">
            <v>24017.752675</v>
          </cell>
          <cell r="EK116">
            <v>-67124.723093170003</v>
          </cell>
          <cell r="EL116">
            <v>0</v>
          </cell>
          <cell r="EM116">
            <v>13121</v>
          </cell>
          <cell r="EO116">
            <v>-29985.970418170007</v>
          </cell>
          <cell r="EP116">
            <v>0</v>
          </cell>
          <cell r="EQ116">
            <v>0</v>
          </cell>
          <cell r="ER116">
            <v>4422258.9474085104</v>
          </cell>
          <cell r="ES116">
            <v>39</v>
          </cell>
          <cell r="ET116">
            <v>685</v>
          </cell>
          <cell r="EU116">
            <v>6455.8524779686286</v>
          </cell>
          <cell r="EV116" t="str">
            <v>No Variation Applied</v>
          </cell>
          <cell r="EW116">
            <v>189250</v>
          </cell>
          <cell r="EX116">
            <v>0</v>
          </cell>
          <cell r="EY116">
            <v>0</v>
          </cell>
          <cell r="EZ116">
            <v>1382821.6816414222</v>
          </cell>
        </row>
        <row r="117">
          <cell r="C117" t="str">
            <v>Derby Moor Community Sports College</v>
          </cell>
          <cell r="D117">
            <v>4178</v>
          </cell>
          <cell r="F117" t="str">
            <v/>
          </cell>
          <cell r="G117">
            <v>0</v>
          </cell>
          <cell r="H117">
            <v>0</v>
          </cell>
          <cell r="I117">
            <v>0</v>
          </cell>
          <cell r="J117">
            <v>0</v>
          </cell>
          <cell r="L117">
            <v>0</v>
          </cell>
          <cell r="M117">
            <v>0</v>
          </cell>
          <cell r="N117">
            <v>0</v>
          </cell>
          <cell r="S117">
            <v>0</v>
          </cell>
          <cell r="T117">
            <v>0</v>
          </cell>
          <cell r="AW117">
            <v>250</v>
          </cell>
          <cell r="AX117">
            <v>249</v>
          </cell>
          <cell r="AY117">
            <v>250</v>
          </cell>
          <cell r="AZ117">
            <v>248</v>
          </cell>
          <cell r="BA117">
            <v>236</v>
          </cell>
          <cell r="BB117">
            <v>0</v>
          </cell>
          <cell r="BC117">
            <v>4325661.8173406543</v>
          </cell>
          <cell r="BD117">
            <v>1233</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I117">
            <v>0</v>
          </cell>
          <cell r="CJ117">
            <v>0</v>
          </cell>
          <cell r="CK117">
            <v>41868.410000000003</v>
          </cell>
          <cell r="CL117">
            <v>12377.426228778148</v>
          </cell>
          <cell r="CM117">
            <v>54245.836228778149</v>
          </cell>
          <cell r="CN117">
            <v>0</v>
          </cell>
          <cell r="CO117">
            <v>0</v>
          </cell>
          <cell r="CP117">
            <v>0</v>
          </cell>
          <cell r="CQ117">
            <v>22851.928783382788</v>
          </cell>
          <cell r="CR117">
            <v>134716.13442361003</v>
          </cell>
          <cell r="CS117">
            <v>124634.84951455907</v>
          </cell>
          <cell r="CT117">
            <v>282202.9127215519</v>
          </cell>
          <cell r="CU117">
            <v>15294.542587615051</v>
          </cell>
          <cell r="CV117">
            <v>0</v>
          </cell>
          <cell r="CW117">
            <v>15294.542587615051</v>
          </cell>
          <cell r="CX117">
            <v>0</v>
          </cell>
          <cell r="CZ117">
            <v>0</v>
          </cell>
          <cell r="DC117">
            <v>0</v>
          </cell>
          <cell r="DD117">
            <v>358475.94590917358</v>
          </cell>
          <cell r="DE117">
            <v>372334.78436257935</v>
          </cell>
          <cell r="DF117">
            <v>59669.525040929933</v>
          </cell>
          <cell r="DG117">
            <v>362385.88490148424</v>
          </cell>
          <cell r="DH117">
            <v>34129.90001000074</v>
          </cell>
          <cell r="DI117">
            <v>1186996.0402241678</v>
          </cell>
          <cell r="DJ117">
            <v>0</v>
          </cell>
          <cell r="DK117">
            <v>23587</v>
          </cell>
          <cell r="DL117">
            <v>36173.633618087573</v>
          </cell>
          <cell r="DM117">
            <v>349775.30324456643</v>
          </cell>
          <cell r="DN117">
            <v>0</v>
          </cell>
          <cell r="DO117">
            <v>0</v>
          </cell>
          <cell r="DP117">
            <v>0</v>
          </cell>
          <cell r="DQ117">
            <v>409535.93686265399</v>
          </cell>
          <cell r="DR117">
            <v>0</v>
          </cell>
          <cell r="DS117">
            <v>0</v>
          </cell>
          <cell r="DT117">
            <v>0</v>
          </cell>
          <cell r="DU117">
            <v>0</v>
          </cell>
          <cell r="DV117">
            <v>0</v>
          </cell>
          <cell r="DW117">
            <v>0</v>
          </cell>
          <cell r="DX117">
            <v>0</v>
          </cell>
          <cell r="DY117">
            <v>36486.886498914879</v>
          </cell>
          <cell r="DZ117">
            <v>7084.0811965066614</v>
          </cell>
          <cell r="EA117">
            <v>0</v>
          </cell>
          <cell r="EB117">
            <v>43570.967695421539</v>
          </cell>
          <cell r="EE117">
            <v>0</v>
          </cell>
          <cell r="EH117">
            <v>0</v>
          </cell>
          <cell r="EI117">
            <v>18043.833143835614</v>
          </cell>
          <cell r="EK117">
            <v>-120004.3156188073</v>
          </cell>
          <cell r="EL117">
            <v>11312.379303337086</v>
          </cell>
          <cell r="EM117">
            <v>0</v>
          </cell>
          <cell r="EO117">
            <v>-90648.103171634604</v>
          </cell>
          <cell r="EP117">
            <v>0</v>
          </cell>
          <cell r="EQ117">
            <v>0</v>
          </cell>
          <cell r="ER117">
            <v>6226859.9504892081</v>
          </cell>
          <cell r="ES117">
            <v>121</v>
          </cell>
          <cell r="ET117">
            <v>1354</v>
          </cell>
          <cell r="EU117">
            <v>4598.8625926803606</v>
          </cell>
          <cell r="EV117" t="str">
            <v>No Variation Applied</v>
          </cell>
          <cell r="EW117">
            <v>266900</v>
          </cell>
          <cell r="EX117">
            <v>0</v>
          </cell>
          <cell r="EY117">
            <v>0</v>
          </cell>
          <cell r="EZ117">
            <v>1105755.684217449</v>
          </cell>
        </row>
        <row r="118">
          <cell r="C118" t="str">
            <v>Littleover Community School</v>
          </cell>
          <cell r="D118">
            <v>4182</v>
          </cell>
          <cell r="F118" t="str">
            <v/>
          </cell>
          <cell r="G118">
            <v>0</v>
          </cell>
          <cell r="H118">
            <v>0</v>
          </cell>
          <cell r="I118">
            <v>0</v>
          </cell>
          <cell r="J118">
            <v>0</v>
          </cell>
          <cell r="L118">
            <v>0</v>
          </cell>
          <cell r="M118">
            <v>0</v>
          </cell>
          <cell r="N118">
            <v>0</v>
          </cell>
          <cell r="S118">
            <v>0</v>
          </cell>
          <cell r="T118">
            <v>0</v>
          </cell>
          <cell r="AW118">
            <v>265</v>
          </cell>
          <cell r="AX118">
            <v>266</v>
          </cell>
          <cell r="AY118">
            <v>270</v>
          </cell>
          <cell r="AZ118">
            <v>253</v>
          </cell>
          <cell r="BA118">
            <v>251</v>
          </cell>
          <cell r="BB118">
            <v>0</v>
          </cell>
          <cell r="BC118">
            <v>4574427.3716929741</v>
          </cell>
          <cell r="BD118">
            <v>1305</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I118">
            <v>0</v>
          </cell>
          <cell r="CJ118">
            <v>0</v>
          </cell>
          <cell r="CK118">
            <v>47217.91</v>
          </cell>
          <cell r="CL118">
            <v>20387.93334979652</v>
          </cell>
          <cell r="CM118">
            <v>67605.843349796516</v>
          </cell>
          <cell r="CN118">
            <v>0</v>
          </cell>
          <cell r="CO118">
            <v>0</v>
          </cell>
          <cell r="CP118">
            <v>0</v>
          </cell>
          <cell r="CQ118">
            <v>9902.5024727992077</v>
          </cell>
          <cell r="CR118">
            <v>96402.37142239984</v>
          </cell>
          <cell r="CS118">
            <v>67485.211200566133</v>
          </cell>
          <cell r="CT118">
            <v>173790.08509576519</v>
          </cell>
          <cell r="CU118">
            <v>20392.7234501534</v>
          </cell>
          <cell r="CV118">
            <v>0</v>
          </cell>
          <cell r="CW118">
            <v>20392.7234501534</v>
          </cell>
          <cell r="CX118">
            <v>0</v>
          </cell>
          <cell r="CZ118">
            <v>0</v>
          </cell>
          <cell r="DC118">
            <v>0</v>
          </cell>
          <cell r="DD118">
            <v>123938.63191838541</v>
          </cell>
          <cell r="DE118">
            <v>84009.633268078542</v>
          </cell>
          <cell r="DF118">
            <v>33149.736133849961</v>
          </cell>
          <cell r="DG118">
            <v>196502.75791748613</v>
          </cell>
          <cell r="DH118">
            <v>26528.295078408701</v>
          </cell>
          <cell r="DI118">
            <v>464129.0543162087</v>
          </cell>
          <cell r="DJ118">
            <v>0</v>
          </cell>
          <cell r="DK118">
            <v>92516</v>
          </cell>
          <cell r="DL118">
            <v>30092.899673695418</v>
          </cell>
          <cell r="DM118">
            <v>349775.30324456643</v>
          </cell>
          <cell r="DN118">
            <v>0</v>
          </cell>
          <cell r="DO118">
            <v>0</v>
          </cell>
          <cell r="DP118">
            <v>0</v>
          </cell>
          <cell r="DQ118">
            <v>472384.20291826187</v>
          </cell>
          <cell r="DR118">
            <v>0</v>
          </cell>
          <cell r="DS118">
            <v>0</v>
          </cell>
          <cell r="DT118">
            <v>0</v>
          </cell>
          <cell r="DU118">
            <v>0</v>
          </cell>
          <cell r="DV118">
            <v>0</v>
          </cell>
          <cell r="DW118">
            <v>0</v>
          </cell>
          <cell r="DX118">
            <v>0</v>
          </cell>
          <cell r="DY118">
            <v>26062.0617849392</v>
          </cell>
          <cell r="DZ118">
            <v>0</v>
          </cell>
          <cell r="EA118">
            <v>0</v>
          </cell>
          <cell r="EB118">
            <v>26062.0617849392</v>
          </cell>
          <cell r="EE118">
            <v>0</v>
          </cell>
          <cell r="EH118">
            <v>0</v>
          </cell>
          <cell r="EI118">
            <v>0</v>
          </cell>
          <cell r="EK118">
            <v>-120004.85812282367</v>
          </cell>
          <cell r="EL118">
            <v>2792</v>
          </cell>
          <cell r="EM118">
            <v>0</v>
          </cell>
          <cell r="EO118">
            <v>-117212.85812282367</v>
          </cell>
          <cell r="EP118">
            <v>0</v>
          </cell>
          <cell r="EQ118">
            <v>0</v>
          </cell>
          <cell r="ER118">
            <v>5681578.4844852751</v>
          </cell>
          <cell r="ES118">
            <v>222</v>
          </cell>
          <cell r="ET118">
            <v>1527</v>
          </cell>
          <cell r="EU118">
            <v>3720.7455694075147</v>
          </cell>
          <cell r="EV118" t="str">
            <v>No Variation Applied</v>
          </cell>
          <cell r="EW118">
            <v>96800</v>
          </cell>
          <cell r="EX118">
            <v>0</v>
          </cell>
          <cell r="EY118">
            <v>0</v>
          </cell>
          <cell r="EZ118">
            <v>625068.53170515003</v>
          </cell>
        </row>
        <row r="119">
          <cell r="C119" t="str">
            <v>Saint Benedict Catholic School and Performing Arts College</v>
          </cell>
          <cell r="D119">
            <v>4607</v>
          </cell>
          <cell r="F119" t="str">
            <v/>
          </cell>
          <cell r="G119">
            <v>0</v>
          </cell>
          <cell r="H119">
            <v>0</v>
          </cell>
          <cell r="I119">
            <v>0</v>
          </cell>
          <cell r="J119">
            <v>0</v>
          </cell>
          <cell r="L119">
            <v>0</v>
          </cell>
          <cell r="M119">
            <v>0</v>
          </cell>
          <cell r="N119">
            <v>0</v>
          </cell>
          <cell r="S119">
            <v>0</v>
          </cell>
          <cell r="T119">
            <v>0</v>
          </cell>
          <cell r="AW119">
            <v>245</v>
          </cell>
          <cell r="AX119">
            <v>241</v>
          </cell>
          <cell r="AY119">
            <v>246</v>
          </cell>
          <cell r="AZ119">
            <v>243</v>
          </cell>
          <cell r="BA119">
            <v>233</v>
          </cell>
          <cell r="BB119">
            <v>0</v>
          </cell>
          <cell r="BC119">
            <v>4238795.8890279643</v>
          </cell>
          <cell r="BD119">
            <v>1208</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I119">
            <v>0</v>
          </cell>
          <cell r="CJ119">
            <v>0</v>
          </cell>
          <cell r="CK119">
            <v>46197.49</v>
          </cell>
          <cell r="CL119">
            <v>19895.45260460423</v>
          </cell>
          <cell r="CM119">
            <v>66092.942604604235</v>
          </cell>
          <cell r="CN119">
            <v>0</v>
          </cell>
          <cell r="CO119">
            <v>0</v>
          </cell>
          <cell r="CP119">
            <v>0</v>
          </cell>
          <cell r="CQ119">
            <v>19805.004945598415</v>
          </cell>
          <cell r="CR119">
            <v>55616.752743692217</v>
          </cell>
          <cell r="CS119">
            <v>56744.321730205753</v>
          </cell>
          <cell r="CT119">
            <v>132166.07941949638</v>
          </cell>
          <cell r="CU119">
            <v>42242.070003889188</v>
          </cell>
          <cell r="CV119">
            <v>0</v>
          </cell>
          <cell r="CW119">
            <v>42242.070003889188</v>
          </cell>
          <cell r="CX119">
            <v>560475.59116377262</v>
          </cell>
          <cell r="CZ119">
            <v>560475.59116377262</v>
          </cell>
          <cell r="DC119">
            <v>0</v>
          </cell>
          <cell r="DD119">
            <v>267003.8330017401</v>
          </cell>
          <cell r="DE119">
            <v>340639.46633446048</v>
          </cell>
          <cell r="DF119">
            <v>62984.498654314935</v>
          </cell>
          <cell r="DG119">
            <v>374874.39156794333</v>
          </cell>
          <cell r="DH119">
            <v>33471.305665310094</v>
          </cell>
          <cell r="DI119">
            <v>1078973.4952237688</v>
          </cell>
          <cell r="DJ119">
            <v>0</v>
          </cell>
          <cell r="DK119">
            <v>27022</v>
          </cell>
          <cell r="DL119">
            <v>66863.405152482504</v>
          </cell>
          <cell r="DM119">
            <v>349775.30324456643</v>
          </cell>
          <cell r="DN119">
            <v>0</v>
          </cell>
          <cell r="DO119">
            <v>0</v>
          </cell>
          <cell r="DP119">
            <v>0</v>
          </cell>
          <cell r="DQ119">
            <v>443660.70839704893</v>
          </cell>
          <cell r="DR119">
            <v>0</v>
          </cell>
          <cell r="DS119">
            <v>0</v>
          </cell>
          <cell r="DT119">
            <v>0</v>
          </cell>
          <cell r="DU119">
            <v>19329.921551105632</v>
          </cell>
          <cell r="DV119">
            <v>0</v>
          </cell>
          <cell r="DW119">
            <v>0</v>
          </cell>
          <cell r="DX119">
            <v>19329.921551105632</v>
          </cell>
          <cell r="DY119">
            <v>49517.917391384479</v>
          </cell>
          <cell r="DZ119">
            <v>7816.5563571498906</v>
          </cell>
          <cell r="EA119">
            <v>0</v>
          </cell>
          <cell r="EB119">
            <v>57334.473748534372</v>
          </cell>
          <cell r="EE119">
            <v>0</v>
          </cell>
          <cell r="EH119">
            <v>0</v>
          </cell>
          <cell r="EI119">
            <v>4360.4693799999995</v>
          </cell>
          <cell r="EK119">
            <v>-237443.52248369143</v>
          </cell>
          <cell r="EL119">
            <v>36560.386976727175</v>
          </cell>
          <cell r="EM119">
            <v>0</v>
          </cell>
          <cell r="EO119">
            <v>-196522.66612696426</v>
          </cell>
          <cell r="EP119">
            <v>0</v>
          </cell>
          <cell r="EQ119">
            <v>0</v>
          </cell>
          <cell r="ER119">
            <v>6442548.50501322</v>
          </cell>
          <cell r="ES119">
            <v>286</v>
          </cell>
          <cell r="ET119">
            <v>1494</v>
          </cell>
          <cell r="EU119">
            <v>4312.2814625255824</v>
          </cell>
          <cell r="EV119" t="str">
            <v>No Variation Applied</v>
          </cell>
          <cell r="EW119">
            <v>212400</v>
          </cell>
          <cell r="EX119">
            <v>0</v>
          </cell>
          <cell r="EY119">
            <v>0</v>
          </cell>
          <cell r="EZ119">
            <v>1556188.5102463106</v>
          </cell>
        </row>
        <row r="120">
          <cell r="C120" t="str">
            <v>da Vinci Community College</v>
          </cell>
          <cell r="D120">
            <v>4608</v>
          </cell>
          <cell r="F120" t="str">
            <v/>
          </cell>
          <cell r="G120">
            <v>0</v>
          </cell>
          <cell r="H120">
            <v>0</v>
          </cell>
          <cell r="I120">
            <v>0</v>
          </cell>
          <cell r="J120">
            <v>0</v>
          </cell>
          <cell r="L120">
            <v>0</v>
          </cell>
          <cell r="M120">
            <v>0</v>
          </cell>
          <cell r="N120">
            <v>0</v>
          </cell>
          <cell r="S120">
            <v>0</v>
          </cell>
          <cell r="T120">
            <v>0</v>
          </cell>
          <cell r="AW120">
            <v>125</v>
          </cell>
          <cell r="AX120">
            <v>129</v>
          </cell>
          <cell r="AY120">
            <v>130</v>
          </cell>
          <cell r="AZ120">
            <v>145</v>
          </cell>
          <cell r="BA120">
            <v>87</v>
          </cell>
          <cell r="BB120">
            <v>0</v>
          </cell>
          <cell r="BC120">
            <v>2156535.0832579779</v>
          </cell>
          <cell r="BD120">
            <v>616</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I120">
            <v>0</v>
          </cell>
          <cell r="CJ120">
            <v>0</v>
          </cell>
          <cell r="CK120">
            <v>19047.96</v>
          </cell>
          <cell r="CL120">
            <v>3874.4383625674836</v>
          </cell>
          <cell r="CM120">
            <v>22922.398362567481</v>
          </cell>
          <cell r="CN120">
            <v>0</v>
          </cell>
          <cell r="CO120">
            <v>0</v>
          </cell>
          <cell r="CP120">
            <v>0</v>
          </cell>
          <cell r="CQ120">
            <v>19805.004945598415</v>
          </cell>
          <cell r="CR120">
            <v>9887.4227099897271</v>
          </cell>
          <cell r="CS120">
            <v>6079.7487568077595</v>
          </cell>
          <cell r="CT120">
            <v>35772.1764123959</v>
          </cell>
          <cell r="CU120">
            <v>41999.299486625467</v>
          </cell>
          <cell r="CV120">
            <v>0</v>
          </cell>
          <cell r="CW120">
            <v>41999.299486625467</v>
          </cell>
          <cell r="CX120">
            <v>0</v>
          </cell>
          <cell r="CZ120">
            <v>0</v>
          </cell>
          <cell r="DC120">
            <v>0</v>
          </cell>
          <cell r="DD120">
            <v>247787.6480508573</v>
          </cell>
          <cell r="DE120">
            <v>201077.82404935636</v>
          </cell>
          <cell r="DF120">
            <v>61327.011847622438</v>
          </cell>
          <cell r="DG120">
            <v>210242.00896954272</v>
          </cell>
          <cell r="DH120">
            <v>22940.27729439408</v>
          </cell>
          <cell r="DI120">
            <v>743374.77021177288</v>
          </cell>
          <cell r="DJ120">
            <v>0</v>
          </cell>
          <cell r="DK120">
            <v>24961</v>
          </cell>
          <cell r="DL120">
            <v>9479.1770722006495</v>
          </cell>
          <cell r="DM120">
            <v>349775.30324456643</v>
          </cell>
          <cell r="DN120">
            <v>0</v>
          </cell>
          <cell r="DO120">
            <v>0</v>
          </cell>
          <cell r="DP120">
            <v>0</v>
          </cell>
          <cell r="DQ120">
            <v>384215.48031676706</v>
          </cell>
          <cell r="DR120">
            <v>19520.89729508699</v>
          </cell>
          <cell r="DS120">
            <v>0</v>
          </cell>
          <cell r="DT120">
            <v>6431.2990378446411</v>
          </cell>
          <cell r="DU120">
            <v>0</v>
          </cell>
          <cell r="DV120">
            <v>0</v>
          </cell>
          <cell r="DW120">
            <v>0</v>
          </cell>
          <cell r="DX120">
            <v>25952.196332931631</v>
          </cell>
          <cell r="DY120">
            <v>46911.711212890565</v>
          </cell>
          <cell r="DZ120">
            <v>3222.8907068302092</v>
          </cell>
          <cell r="EA120">
            <v>51567.545333218455</v>
          </cell>
          <cell r="EB120">
            <v>101702.14725293923</v>
          </cell>
          <cell r="EE120">
            <v>0</v>
          </cell>
          <cell r="EH120">
            <v>0</v>
          </cell>
          <cell r="EI120">
            <v>0</v>
          </cell>
          <cell r="EK120">
            <v>0</v>
          </cell>
          <cell r="EL120">
            <v>52533.509827925474</v>
          </cell>
          <cell r="EM120">
            <v>0</v>
          </cell>
          <cell r="EO120">
            <v>52533.509827925474</v>
          </cell>
          <cell r="EP120">
            <v>171801.3276963071</v>
          </cell>
          <cell r="EQ120">
            <v>0</v>
          </cell>
          <cell r="ER120">
            <v>3736808.3891582103</v>
          </cell>
          <cell r="ES120">
            <v>0</v>
          </cell>
          <cell r="ET120">
            <v>616</v>
          </cell>
          <cell r="EU120">
            <v>6066.2473849970947</v>
          </cell>
          <cell r="EV120" t="str">
            <v>No Variation Applied</v>
          </cell>
          <cell r="EW120">
            <v>201150</v>
          </cell>
          <cell r="EX120">
            <v>0</v>
          </cell>
          <cell r="EY120">
            <v>0</v>
          </cell>
          <cell r="EZ120">
            <v>698090.10432136129</v>
          </cell>
        </row>
        <row r="121">
          <cell r="C121" t="str">
            <v>Merrill College</v>
          </cell>
          <cell r="D121">
            <v>4609</v>
          </cell>
          <cell r="F121" t="str">
            <v/>
          </cell>
          <cell r="G121">
            <v>0</v>
          </cell>
          <cell r="H121">
            <v>0</v>
          </cell>
          <cell r="I121">
            <v>0</v>
          </cell>
          <cell r="J121">
            <v>0</v>
          </cell>
          <cell r="L121">
            <v>0</v>
          </cell>
          <cell r="M121">
            <v>0</v>
          </cell>
          <cell r="N121">
            <v>0</v>
          </cell>
          <cell r="S121">
            <v>0</v>
          </cell>
          <cell r="T121">
            <v>0</v>
          </cell>
          <cell r="AW121">
            <v>158</v>
          </cell>
          <cell r="AX121">
            <v>192</v>
          </cell>
          <cell r="AY121">
            <v>161</v>
          </cell>
          <cell r="AZ121">
            <v>198</v>
          </cell>
          <cell r="BA121">
            <v>167</v>
          </cell>
          <cell r="BB121">
            <v>0</v>
          </cell>
          <cell r="BC121">
            <v>3083011.2296749414</v>
          </cell>
          <cell r="BD121">
            <v>876</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I121">
            <v>0</v>
          </cell>
          <cell r="CJ121">
            <v>16992.951176879946</v>
          </cell>
          <cell r="CK121">
            <v>30365.42</v>
          </cell>
          <cell r="CL121">
            <v>10376.723201434461</v>
          </cell>
          <cell r="CM121">
            <v>57735.094378314403</v>
          </cell>
          <cell r="CN121">
            <v>0</v>
          </cell>
          <cell r="CO121">
            <v>0</v>
          </cell>
          <cell r="CP121">
            <v>0</v>
          </cell>
          <cell r="CQ121">
            <v>19805.004945598415</v>
          </cell>
          <cell r="CR121">
            <v>33782.027592464903</v>
          </cell>
          <cell r="CS121">
            <v>25940.261362379773</v>
          </cell>
          <cell r="CT121">
            <v>79527.293900443095</v>
          </cell>
          <cell r="CU121">
            <v>10196.3617250767</v>
          </cell>
          <cell r="CV121">
            <v>0</v>
          </cell>
          <cell r="CW121">
            <v>10196.3617250767</v>
          </cell>
          <cell r="CX121">
            <v>0</v>
          </cell>
          <cell r="CZ121">
            <v>0</v>
          </cell>
          <cell r="DC121">
            <v>0</v>
          </cell>
          <cell r="DD121">
            <v>396012.15795180411</v>
          </cell>
          <cell r="DE121">
            <v>390908.92234679958</v>
          </cell>
          <cell r="DF121">
            <v>74586.906301162424</v>
          </cell>
          <cell r="DG121">
            <v>427216.55072050309</v>
          </cell>
          <cell r="DH121">
            <v>32318.63275588087</v>
          </cell>
          <cell r="DI121">
            <v>1321043.1700761502</v>
          </cell>
          <cell r="DJ121">
            <v>45826.81</v>
          </cell>
          <cell r="DK121">
            <v>53128</v>
          </cell>
          <cell r="DL121">
            <v>15994.298484057048</v>
          </cell>
          <cell r="DM121">
            <v>349775.30324456643</v>
          </cell>
          <cell r="DN121">
            <v>0</v>
          </cell>
          <cell r="DO121">
            <v>0</v>
          </cell>
          <cell r="DP121">
            <v>0</v>
          </cell>
          <cell r="DQ121">
            <v>464724.41172862344</v>
          </cell>
          <cell r="DR121">
            <v>299230.14711775293</v>
          </cell>
          <cell r="DS121">
            <v>0</v>
          </cell>
          <cell r="DT121">
            <v>13399.965632327978</v>
          </cell>
          <cell r="DU121">
            <v>0</v>
          </cell>
          <cell r="DV121">
            <v>0</v>
          </cell>
          <cell r="DW121">
            <v>0</v>
          </cell>
          <cell r="DX121">
            <v>312630.11275008088</v>
          </cell>
          <cell r="DY121">
            <v>66458.257551594957</v>
          </cell>
          <cell r="DZ121">
            <v>5137.7900553689378</v>
          </cell>
          <cell r="EA121">
            <v>0</v>
          </cell>
          <cell r="EB121">
            <v>71596.047606963897</v>
          </cell>
          <cell r="EE121">
            <v>0</v>
          </cell>
          <cell r="EH121">
            <v>0</v>
          </cell>
          <cell r="EI121">
            <v>2827.5</v>
          </cell>
          <cell r="EK121">
            <v>-168647.36753115282</v>
          </cell>
          <cell r="EL121">
            <v>7198.7159946331112</v>
          </cell>
          <cell r="EM121">
            <v>0</v>
          </cell>
          <cell r="EO121">
            <v>-158621.1515365197</v>
          </cell>
          <cell r="EP121">
            <v>0</v>
          </cell>
          <cell r="EQ121">
            <v>0</v>
          </cell>
          <cell r="ER121">
            <v>5241842.5703040743</v>
          </cell>
          <cell r="ES121">
            <v>106</v>
          </cell>
          <cell r="ET121">
            <v>982</v>
          </cell>
          <cell r="EU121">
            <v>5337.9252243422343</v>
          </cell>
          <cell r="EV121" t="str">
            <v>No Variation Applied</v>
          </cell>
          <cell r="EW121">
            <v>287700</v>
          </cell>
          <cell r="EX121">
            <v>0</v>
          </cell>
          <cell r="EY121">
            <v>0</v>
          </cell>
          <cell r="EZ121">
            <v>1119662.1087118962</v>
          </cell>
        </row>
        <row r="122">
          <cell r="C122" t="str">
            <v>Murray Park Community School</v>
          </cell>
          <cell r="D122">
            <v>5406</v>
          </cell>
          <cell r="F122" t="str">
            <v/>
          </cell>
          <cell r="G122">
            <v>0</v>
          </cell>
          <cell r="H122">
            <v>0</v>
          </cell>
          <cell r="I122">
            <v>0</v>
          </cell>
          <cell r="J122">
            <v>0</v>
          </cell>
          <cell r="L122">
            <v>0</v>
          </cell>
          <cell r="M122">
            <v>0</v>
          </cell>
          <cell r="N122">
            <v>0</v>
          </cell>
          <cell r="S122">
            <v>0</v>
          </cell>
          <cell r="T122">
            <v>0</v>
          </cell>
          <cell r="AW122">
            <v>168</v>
          </cell>
          <cell r="AX122">
            <v>198</v>
          </cell>
          <cell r="AY122">
            <v>187</v>
          </cell>
          <cell r="AZ122">
            <v>214</v>
          </cell>
          <cell r="BA122">
            <v>162</v>
          </cell>
          <cell r="BB122">
            <v>0</v>
          </cell>
          <cell r="BC122">
            <v>3264405.9508682974</v>
          </cell>
          <cell r="BD122">
            <v>929</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I122">
            <v>0</v>
          </cell>
          <cell r="CJ122">
            <v>16075.816337394572</v>
          </cell>
          <cell r="CK122">
            <v>28726.55</v>
          </cell>
          <cell r="CL122">
            <v>10488.300870267092</v>
          </cell>
          <cell r="CM122">
            <v>55290.667207661667</v>
          </cell>
          <cell r="CN122">
            <v>0</v>
          </cell>
          <cell r="CO122">
            <v>0</v>
          </cell>
          <cell r="CP122">
            <v>0</v>
          </cell>
          <cell r="CQ122">
            <v>21328.466864490601</v>
          </cell>
          <cell r="CR122">
            <v>22452.689070601671</v>
          </cell>
          <cell r="CS122">
            <v>18239.246270423278</v>
          </cell>
          <cell r="CT122">
            <v>62020.402205515551</v>
          </cell>
          <cell r="CU122">
            <v>0</v>
          </cell>
          <cell r="CV122">
            <v>0</v>
          </cell>
          <cell r="CW122">
            <v>0</v>
          </cell>
          <cell r="CX122">
            <v>0</v>
          </cell>
          <cell r="CZ122">
            <v>0</v>
          </cell>
          <cell r="DC122">
            <v>0</v>
          </cell>
          <cell r="DD122">
            <v>160079.39815179125</v>
          </cell>
          <cell r="DE122">
            <v>156602.13584860889</v>
          </cell>
          <cell r="DF122">
            <v>49724.604200774949</v>
          </cell>
          <cell r="DG122">
            <v>246464.33295137796</v>
          </cell>
          <cell r="DH122">
            <v>23781.145536977707</v>
          </cell>
          <cell r="DI122">
            <v>636651.61668953067</v>
          </cell>
          <cell r="DJ122">
            <v>27215.42</v>
          </cell>
          <cell r="DK122">
            <v>23358</v>
          </cell>
          <cell r="DL122">
            <v>23541.176456154433</v>
          </cell>
          <cell r="DM122">
            <v>349775.30324456643</v>
          </cell>
          <cell r="DN122">
            <v>0</v>
          </cell>
          <cell r="DO122">
            <v>0</v>
          </cell>
          <cell r="DP122">
            <v>0</v>
          </cell>
          <cell r="DQ122">
            <v>423889.89970072085</v>
          </cell>
          <cell r="DR122">
            <v>0</v>
          </cell>
          <cell r="DS122">
            <v>0</v>
          </cell>
          <cell r="DT122">
            <v>0</v>
          </cell>
          <cell r="DU122">
            <v>0</v>
          </cell>
          <cell r="DV122">
            <v>0</v>
          </cell>
          <cell r="DW122">
            <v>0</v>
          </cell>
          <cell r="DX122">
            <v>0</v>
          </cell>
          <cell r="DY122">
            <v>59942.742105360165</v>
          </cell>
          <cell r="DZ122">
            <v>4860.4958874111435</v>
          </cell>
          <cell r="EA122">
            <v>0</v>
          </cell>
          <cell r="EB122">
            <v>64803.237992771305</v>
          </cell>
          <cell r="EE122">
            <v>0</v>
          </cell>
          <cell r="EH122">
            <v>0</v>
          </cell>
          <cell r="EI122">
            <v>244.75928630136968</v>
          </cell>
          <cell r="EK122">
            <v>0</v>
          </cell>
          <cell r="EL122">
            <v>6180.0373072152761</v>
          </cell>
          <cell r="EM122">
            <v>0</v>
          </cell>
          <cell r="EO122">
            <v>6424.7965935166458</v>
          </cell>
          <cell r="EP122">
            <v>0</v>
          </cell>
          <cell r="EQ122">
            <v>0</v>
          </cell>
          <cell r="ER122">
            <v>4513486.5712580141</v>
          </cell>
          <cell r="ES122">
            <v>0</v>
          </cell>
          <cell r="ET122">
            <v>929</v>
          </cell>
          <cell r="EU122">
            <v>4858.4354911281098</v>
          </cell>
          <cell r="EV122" t="str">
            <v>No Variation Applied</v>
          </cell>
          <cell r="EW122">
            <v>171200</v>
          </cell>
          <cell r="EX122">
            <v>0</v>
          </cell>
          <cell r="EY122">
            <v>0</v>
          </cell>
          <cell r="EZ122">
            <v>639859.82319593255</v>
          </cell>
        </row>
        <row r="123">
          <cell r="C123" t="str">
            <v>Noel-Baker Community School</v>
          </cell>
          <cell r="D123">
            <v>5407</v>
          </cell>
          <cell r="F123" t="str">
            <v/>
          </cell>
          <cell r="G123">
            <v>0</v>
          </cell>
          <cell r="H123">
            <v>0</v>
          </cell>
          <cell r="I123">
            <v>0</v>
          </cell>
          <cell r="J123">
            <v>0</v>
          </cell>
          <cell r="L123">
            <v>0</v>
          </cell>
          <cell r="M123">
            <v>0</v>
          </cell>
          <cell r="N123">
            <v>0</v>
          </cell>
          <cell r="S123">
            <v>0</v>
          </cell>
          <cell r="T123">
            <v>0</v>
          </cell>
          <cell r="AW123">
            <v>208</v>
          </cell>
          <cell r="AX123">
            <v>189</v>
          </cell>
          <cell r="AY123">
            <v>205</v>
          </cell>
          <cell r="AZ123">
            <v>188</v>
          </cell>
          <cell r="BA123">
            <v>210</v>
          </cell>
          <cell r="BB123">
            <v>0</v>
          </cell>
          <cell r="BC123">
            <v>3510771.6379949129</v>
          </cell>
          <cell r="BD123">
            <v>1000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I123">
            <v>0</v>
          </cell>
          <cell r="CJ123">
            <v>19830.877850004497</v>
          </cell>
          <cell r="CK123">
            <v>35436.629999999997</v>
          </cell>
          <cell r="CL123">
            <v>10115.092805551056</v>
          </cell>
          <cell r="CM123">
            <v>65382.60065555555</v>
          </cell>
          <cell r="CN123">
            <v>0</v>
          </cell>
          <cell r="CO123">
            <v>0</v>
          </cell>
          <cell r="CP123">
            <v>0</v>
          </cell>
          <cell r="CQ123">
            <v>10664.233432245301</v>
          </cell>
          <cell r="CR123">
            <v>16479.03784998288</v>
          </cell>
          <cell r="CS123">
            <v>13375.447264977071</v>
          </cell>
          <cell r="CT123">
            <v>40518.718547205252</v>
          </cell>
          <cell r="CU123">
            <v>0</v>
          </cell>
          <cell r="CV123">
            <v>0</v>
          </cell>
          <cell r="CW123">
            <v>0</v>
          </cell>
          <cell r="CX123">
            <v>0</v>
          </cell>
          <cell r="CZ123">
            <v>0</v>
          </cell>
          <cell r="DC123">
            <v>0</v>
          </cell>
          <cell r="DD123">
            <v>264814.64737442433</v>
          </cell>
          <cell r="DE123">
            <v>302979.97555911494</v>
          </cell>
          <cell r="DF123">
            <v>67956.959074392435</v>
          </cell>
          <cell r="DG123">
            <v>364444.08021226159</v>
          </cell>
          <cell r="DH123">
            <v>30492.485640739804</v>
          </cell>
          <cell r="DI123">
            <v>1030688.1478609331</v>
          </cell>
          <cell r="DJ123">
            <v>64348.480000000003</v>
          </cell>
          <cell r="DK123">
            <v>25419</v>
          </cell>
          <cell r="DL123">
            <v>35874.576147641281</v>
          </cell>
          <cell r="DM123">
            <v>349775.30324456643</v>
          </cell>
          <cell r="DN123">
            <v>0</v>
          </cell>
          <cell r="DO123">
            <v>0</v>
          </cell>
          <cell r="DP123">
            <v>0</v>
          </cell>
          <cell r="DQ123">
            <v>475417.3593922077</v>
          </cell>
          <cell r="DR123">
            <v>0</v>
          </cell>
          <cell r="DS123">
            <v>72513</v>
          </cell>
          <cell r="DT123">
            <v>0</v>
          </cell>
          <cell r="DU123">
            <v>8054.133979627346</v>
          </cell>
          <cell r="DV123">
            <v>0</v>
          </cell>
          <cell r="DW123">
            <v>0</v>
          </cell>
          <cell r="DX123">
            <v>80567.133979627339</v>
          </cell>
          <cell r="DY123">
            <v>71670.6699085828</v>
          </cell>
          <cell r="DZ123">
            <v>5995.8323864081494</v>
          </cell>
          <cell r="EA123">
            <v>0</v>
          </cell>
          <cell r="EB123">
            <v>77666.502294990947</v>
          </cell>
          <cell r="EE123">
            <v>0</v>
          </cell>
          <cell r="EH123">
            <v>0</v>
          </cell>
          <cell r="EI123">
            <v>0</v>
          </cell>
          <cell r="EK123">
            <v>-152045.94795780143</v>
          </cell>
          <cell r="EL123">
            <v>9339.6839352030838</v>
          </cell>
          <cell r="EM123">
            <v>0</v>
          </cell>
          <cell r="EO123">
            <v>-142706.26402259833</v>
          </cell>
          <cell r="EP123">
            <v>0</v>
          </cell>
          <cell r="EQ123">
            <v>0</v>
          </cell>
          <cell r="ER123">
            <v>5138305.8367028348</v>
          </cell>
          <cell r="ES123">
            <v>146</v>
          </cell>
          <cell r="ET123">
            <v>1146</v>
          </cell>
          <cell r="EU123">
            <v>4483.6874665818805</v>
          </cell>
          <cell r="EV123" t="str">
            <v>No Variation Applied</v>
          </cell>
          <cell r="EW123">
            <v>227200</v>
          </cell>
          <cell r="EX123">
            <v>0</v>
          </cell>
          <cell r="EY123">
            <v>0</v>
          </cell>
          <cell r="EZ123">
            <v>895709.48182899482</v>
          </cell>
        </row>
        <row r="125">
          <cell r="A125" t="str">
            <v>Middle Deemed Secondary Schools</v>
          </cell>
        </row>
        <row r="126">
          <cell r="L126">
            <v>0</v>
          </cell>
          <cell r="M126">
            <v>0</v>
          </cell>
          <cell r="N126">
            <v>0</v>
          </cell>
          <cell r="S126">
            <v>0</v>
          </cell>
          <cell r="T126">
            <v>0</v>
          </cell>
          <cell r="BC126">
            <v>0</v>
          </cell>
          <cell r="BD126">
            <v>0</v>
          </cell>
          <cell r="CE126">
            <v>0</v>
          </cell>
          <cell r="CM126">
            <v>0</v>
          </cell>
          <cell r="CP126">
            <v>0</v>
          </cell>
          <cell r="CT126">
            <v>0</v>
          </cell>
          <cell r="CW126">
            <v>0</v>
          </cell>
          <cell r="CZ126">
            <v>0</v>
          </cell>
          <cell r="DC126">
            <v>0</v>
          </cell>
          <cell r="DI126">
            <v>0</v>
          </cell>
          <cell r="DQ126">
            <v>0</v>
          </cell>
          <cell r="DX126">
            <v>0</v>
          </cell>
          <cell r="EB126">
            <v>0</v>
          </cell>
          <cell r="EE126">
            <v>0</v>
          </cell>
          <cell r="EH126">
            <v>0</v>
          </cell>
          <cell r="EO126">
            <v>0</v>
          </cell>
          <cell r="EQ126">
            <v>0</v>
          </cell>
          <cell r="ER126">
            <v>0</v>
          </cell>
          <cell r="ET126">
            <v>0</v>
          </cell>
          <cell r="EU126">
            <v>0</v>
          </cell>
        </row>
        <row r="128">
          <cell r="B128" t="str">
            <v>Total/average Secondary Schools</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AM128">
            <v>0</v>
          </cell>
          <cell r="AN128">
            <v>0</v>
          </cell>
          <cell r="AO128">
            <v>0</v>
          </cell>
          <cell r="AP128">
            <v>0</v>
          </cell>
          <cell r="AQ128">
            <v>0</v>
          </cell>
          <cell r="AR128">
            <v>0</v>
          </cell>
          <cell r="AS128">
            <v>0</v>
          </cell>
          <cell r="AT128">
            <v>0</v>
          </cell>
          <cell r="AU128">
            <v>0</v>
          </cell>
          <cell r="AV128">
            <v>0</v>
          </cell>
          <cell r="AW128">
            <v>1689</v>
          </cell>
          <cell r="AX128">
            <v>1808</v>
          </cell>
          <cell r="AY128">
            <v>1784</v>
          </cell>
          <cell r="AZ128">
            <v>1835</v>
          </cell>
          <cell r="BA128">
            <v>1592</v>
          </cell>
          <cell r="BB128">
            <v>0</v>
          </cell>
          <cell r="BC128">
            <v>30553832.235700458</v>
          </cell>
          <cell r="BD128">
            <v>8708</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52899.645364279015</v>
          </cell>
          <cell r="CK128">
            <v>297717.14999999997</v>
          </cell>
          <cell r="CL128">
            <v>103669.4412413735</v>
          </cell>
          <cell r="CM128">
            <v>454286.23660565249</v>
          </cell>
          <cell r="CN128">
            <v>0</v>
          </cell>
          <cell r="CO128">
            <v>0</v>
          </cell>
          <cell r="CP128">
            <v>0</v>
          </cell>
          <cell r="CQ128">
            <v>190432.73986152321</v>
          </cell>
          <cell r="CR128">
            <v>519707.65619383508</v>
          </cell>
          <cell r="CS128">
            <v>431864.82002524455</v>
          </cell>
          <cell r="CT128">
            <v>1142005.2160806027</v>
          </cell>
          <cell r="CU128">
            <v>141777.98208201892</v>
          </cell>
          <cell r="CV128">
            <v>0</v>
          </cell>
          <cell r="CW128">
            <v>141777.98208201892</v>
          </cell>
          <cell r="CX128">
            <v>985381.26657507801</v>
          </cell>
          <cell r="CY128">
            <v>0</v>
          </cell>
          <cell r="CZ128">
            <v>985381.26657507801</v>
          </cell>
          <cell r="DA128">
            <v>0</v>
          </cell>
          <cell r="DB128">
            <v>0</v>
          </cell>
          <cell r="DC128">
            <v>0</v>
          </cell>
          <cell r="DD128">
            <v>2413890.8093663258</v>
          </cell>
          <cell r="DE128">
            <v>2461499.2952482649</v>
          </cell>
          <cell r="DF128">
            <v>518793.37049475207</v>
          </cell>
          <cell r="DG128">
            <v>2907199.1183558581</v>
          </cell>
          <cell r="DH128">
            <v>258568.94297647552</v>
          </cell>
          <cell r="DI128">
            <v>8559951.5364416763</v>
          </cell>
          <cell r="DJ128">
            <v>137390.71</v>
          </cell>
          <cell r="DK128">
            <v>305715</v>
          </cell>
          <cell r="DL128">
            <v>274385.58824652637</v>
          </cell>
          <cell r="DM128">
            <v>3147977.7292010984</v>
          </cell>
          <cell r="DN128">
            <v>0</v>
          </cell>
          <cell r="DO128">
            <v>0</v>
          </cell>
          <cell r="DP128">
            <v>0</v>
          </cell>
          <cell r="DQ128">
            <v>3865469.0274476237</v>
          </cell>
          <cell r="DR128">
            <v>318751.04441283992</v>
          </cell>
          <cell r="DS128">
            <v>72513</v>
          </cell>
          <cell r="DT128">
            <v>19831.264670172619</v>
          </cell>
          <cell r="DU128">
            <v>27384.055530732978</v>
          </cell>
          <cell r="DV128">
            <v>0</v>
          </cell>
          <cell r="DW128">
            <v>0</v>
          </cell>
          <cell r="DX128">
            <v>438479.36461374548</v>
          </cell>
          <cell r="DY128">
            <v>470420.21521815262</v>
          </cell>
          <cell r="DZ128">
            <v>42384.151974077147</v>
          </cell>
          <cell r="EA128">
            <v>76581.653144108001</v>
          </cell>
          <cell r="EB128">
            <v>589386.02033633774</v>
          </cell>
          <cell r="EC128">
            <v>0</v>
          </cell>
          <cell r="ED128">
            <v>0</v>
          </cell>
          <cell r="EE128">
            <v>0</v>
          </cell>
          <cell r="EF128">
            <v>0</v>
          </cell>
          <cell r="EG128">
            <v>0</v>
          </cell>
          <cell r="EH128">
            <v>0</v>
          </cell>
          <cell r="EI128">
            <v>57327.394735136986</v>
          </cell>
          <cell r="EJ128">
            <v>0</v>
          </cell>
          <cell r="EK128">
            <v>-865270.7348074466</v>
          </cell>
          <cell r="EL128">
            <v>182227</v>
          </cell>
          <cell r="EM128">
            <v>13121</v>
          </cell>
          <cell r="EN128">
            <v>0</v>
          </cell>
          <cell r="EO128">
            <v>-612595.3400723096</v>
          </cell>
          <cell r="EP128">
            <v>172550.63467090158</v>
          </cell>
          <cell r="EQ128">
            <v>0</v>
          </cell>
          <cell r="ER128">
            <v>46290524.180481784</v>
          </cell>
          <cell r="ES128">
            <v>920</v>
          </cell>
          <cell r="ET128">
            <v>9628</v>
          </cell>
          <cell r="EU128">
            <v>4807.9065413878052</v>
          </cell>
          <cell r="EW128">
            <v>1887600</v>
          </cell>
          <cell r="EX128">
            <v>0</v>
          </cell>
          <cell r="EY128">
            <v>0</v>
          </cell>
          <cell r="EZ128">
            <v>8987442.5918243062</v>
          </cell>
        </row>
        <row r="130">
          <cell r="A130" t="str">
            <v>Special Schools</v>
          </cell>
        </row>
        <row r="131">
          <cell r="C131" t="str">
            <v>St Martins School</v>
          </cell>
          <cell r="D131">
            <v>7021</v>
          </cell>
          <cell r="F131" t="str">
            <v/>
          </cell>
          <cell r="G131">
            <v>0</v>
          </cell>
          <cell r="H131">
            <v>0</v>
          </cell>
          <cell r="I131">
            <v>0</v>
          </cell>
          <cell r="J131">
            <v>0</v>
          </cell>
          <cell r="L131">
            <v>0</v>
          </cell>
          <cell r="M131">
            <v>0</v>
          </cell>
          <cell r="N131">
            <v>0</v>
          </cell>
          <cell r="S131">
            <v>0</v>
          </cell>
          <cell r="T131">
            <v>0</v>
          </cell>
          <cell r="BE131">
            <v>0</v>
          </cell>
          <cell r="BF131">
            <v>0</v>
          </cell>
          <cell r="BG131">
            <v>21</v>
          </cell>
          <cell r="BH131">
            <v>0</v>
          </cell>
          <cell r="BI131">
            <v>0</v>
          </cell>
          <cell r="BJ131">
            <v>40</v>
          </cell>
          <cell r="BK131">
            <v>0</v>
          </cell>
          <cell r="BL131">
            <v>0</v>
          </cell>
          <cell r="BM131">
            <v>28</v>
          </cell>
          <cell r="BN131">
            <v>0</v>
          </cell>
          <cell r="BO131">
            <v>0</v>
          </cell>
          <cell r="BP131">
            <v>1294926.0161516273</v>
          </cell>
          <cell r="BQ131">
            <v>89</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I131">
            <v>35897</v>
          </cell>
          <cell r="CJ131">
            <v>0</v>
          </cell>
          <cell r="CK131">
            <v>0</v>
          </cell>
          <cell r="CL131">
            <v>473</v>
          </cell>
          <cell r="CM131">
            <v>36370</v>
          </cell>
          <cell r="CN131">
            <v>0</v>
          </cell>
          <cell r="CO131">
            <v>0</v>
          </cell>
          <cell r="CP131">
            <v>0</v>
          </cell>
          <cell r="CQ131">
            <v>0</v>
          </cell>
          <cell r="CR131">
            <v>0</v>
          </cell>
          <cell r="CS131">
            <v>0</v>
          </cell>
          <cell r="CT131">
            <v>0</v>
          </cell>
          <cell r="CU131">
            <v>0</v>
          </cell>
          <cell r="CV131">
            <v>0</v>
          </cell>
          <cell r="CW131">
            <v>0</v>
          </cell>
          <cell r="CX131">
            <v>0</v>
          </cell>
          <cell r="CZ131">
            <v>0</v>
          </cell>
          <cell r="DC131">
            <v>0</v>
          </cell>
          <cell r="DD131">
            <v>0</v>
          </cell>
          <cell r="DE131">
            <v>0</v>
          </cell>
          <cell r="DF131">
            <v>0</v>
          </cell>
          <cell r="DG131">
            <v>0</v>
          </cell>
          <cell r="DH131">
            <v>0</v>
          </cell>
          <cell r="DI131">
            <v>0</v>
          </cell>
          <cell r="DJ131">
            <v>0</v>
          </cell>
          <cell r="DK131">
            <v>0</v>
          </cell>
          <cell r="DL131">
            <v>7008</v>
          </cell>
          <cell r="DM131">
            <v>231249</v>
          </cell>
          <cell r="DN131">
            <v>0</v>
          </cell>
          <cell r="DO131">
            <v>65699</v>
          </cell>
          <cell r="DP131">
            <v>969</v>
          </cell>
          <cell r="DQ131">
            <v>304925</v>
          </cell>
          <cell r="DR131">
            <v>0</v>
          </cell>
          <cell r="DS131">
            <v>11863</v>
          </cell>
          <cell r="DT131">
            <v>0</v>
          </cell>
          <cell r="DU131">
            <v>0</v>
          </cell>
          <cell r="DV131">
            <v>0</v>
          </cell>
          <cell r="DW131">
            <v>0</v>
          </cell>
          <cell r="DX131">
            <v>11863</v>
          </cell>
          <cell r="DY131">
            <v>0</v>
          </cell>
          <cell r="DZ131">
            <v>0</v>
          </cell>
          <cell r="EA131">
            <v>0</v>
          </cell>
          <cell r="EB131">
            <v>0</v>
          </cell>
          <cell r="EE131">
            <v>0</v>
          </cell>
          <cell r="EH131">
            <v>0</v>
          </cell>
          <cell r="EI131">
            <v>0</v>
          </cell>
          <cell r="EK131">
            <v>0</v>
          </cell>
          <cell r="EL131">
            <v>0</v>
          </cell>
          <cell r="EM131">
            <v>23473</v>
          </cell>
          <cell r="EO131">
            <v>23473</v>
          </cell>
          <cell r="EP131">
            <v>0</v>
          </cell>
          <cell r="EQ131">
            <v>0</v>
          </cell>
          <cell r="ER131">
            <v>1671557.0161516273</v>
          </cell>
          <cell r="ES131">
            <v>0</v>
          </cell>
          <cell r="ET131">
            <v>89</v>
          </cell>
          <cell r="EU131">
            <v>18781.539507321653</v>
          </cell>
          <cell r="EV131" t="str">
            <v>No Variation Applied</v>
          </cell>
          <cell r="EW131">
            <v>32650</v>
          </cell>
          <cell r="EX131">
            <v>0</v>
          </cell>
          <cell r="EY131">
            <v>0</v>
          </cell>
          <cell r="EZ131">
            <v>0</v>
          </cell>
        </row>
        <row r="132">
          <cell r="C132" t="str">
            <v>St Giles' School</v>
          </cell>
          <cell r="D132">
            <v>7024</v>
          </cell>
          <cell r="F132" t="str">
            <v/>
          </cell>
          <cell r="G132">
            <v>0</v>
          </cell>
          <cell r="H132">
            <v>0</v>
          </cell>
          <cell r="I132">
            <v>0</v>
          </cell>
          <cell r="J132">
            <v>0</v>
          </cell>
          <cell r="L132">
            <v>0</v>
          </cell>
          <cell r="M132">
            <v>0</v>
          </cell>
          <cell r="N132">
            <v>0</v>
          </cell>
          <cell r="S132">
            <v>0</v>
          </cell>
          <cell r="T132">
            <v>0</v>
          </cell>
          <cell r="BE132">
            <v>0</v>
          </cell>
          <cell r="BF132">
            <v>2</v>
          </cell>
          <cell r="BG132">
            <v>0</v>
          </cell>
          <cell r="BH132">
            <v>21</v>
          </cell>
          <cell r="BI132">
            <v>32</v>
          </cell>
          <cell r="BJ132">
            <v>0</v>
          </cell>
          <cell r="BK132">
            <v>8</v>
          </cell>
          <cell r="BL132">
            <v>29</v>
          </cell>
          <cell r="BM132">
            <v>0</v>
          </cell>
          <cell r="BN132">
            <v>0</v>
          </cell>
          <cell r="BO132">
            <v>0</v>
          </cell>
          <cell r="BP132">
            <v>1355146.2251628153</v>
          </cell>
          <cell r="BQ132">
            <v>92</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I132">
            <v>30579</v>
          </cell>
          <cell r="CJ132">
            <v>0</v>
          </cell>
          <cell r="CK132">
            <v>0</v>
          </cell>
          <cell r="CL132">
            <v>965</v>
          </cell>
          <cell r="CM132">
            <v>31544</v>
          </cell>
          <cell r="CN132">
            <v>0</v>
          </cell>
          <cell r="CO132">
            <v>0</v>
          </cell>
          <cell r="CP132">
            <v>0</v>
          </cell>
          <cell r="CQ132">
            <v>0</v>
          </cell>
          <cell r="CR132">
            <v>0</v>
          </cell>
          <cell r="CS132">
            <v>0</v>
          </cell>
          <cell r="CT132">
            <v>0</v>
          </cell>
          <cell r="CU132">
            <v>0</v>
          </cell>
          <cell r="CV132">
            <v>0</v>
          </cell>
          <cell r="CW132">
            <v>0</v>
          </cell>
          <cell r="CX132">
            <v>0</v>
          </cell>
          <cell r="CZ132">
            <v>0</v>
          </cell>
          <cell r="DC132">
            <v>0</v>
          </cell>
          <cell r="DD132">
            <v>0</v>
          </cell>
          <cell r="DE132">
            <v>0</v>
          </cell>
          <cell r="DF132">
            <v>0</v>
          </cell>
          <cell r="DG132">
            <v>0</v>
          </cell>
          <cell r="DH132">
            <v>0</v>
          </cell>
          <cell r="DI132">
            <v>0</v>
          </cell>
          <cell r="DJ132">
            <v>0</v>
          </cell>
          <cell r="DK132">
            <v>0</v>
          </cell>
          <cell r="DL132">
            <v>4447</v>
          </cell>
          <cell r="DM132">
            <v>230223</v>
          </cell>
          <cell r="DN132">
            <v>0</v>
          </cell>
          <cell r="DO132">
            <v>62536</v>
          </cell>
          <cell r="DP132">
            <v>1088</v>
          </cell>
          <cell r="DQ132">
            <v>298294</v>
          </cell>
          <cell r="DR132">
            <v>0</v>
          </cell>
          <cell r="DS132">
            <v>0</v>
          </cell>
          <cell r="DT132">
            <v>0</v>
          </cell>
          <cell r="DU132">
            <v>0</v>
          </cell>
          <cell r="DV132">
            <v>0</v>
          </cell>
          <cell r="DW132">
            <v>24896</v>
          </cell>
          <cell r="DX132">
            <v>24896</v>
          </cell>
          <cell r="DY132">
            <v>0</v>
          </cell>
          <cell r="DZ132">
            <v>0</v>
          </cell>
          <cell r="EA132">
            <v>0</v>
          </cell>
          <cell r="EB132">
            <v>0</v>
          </cell>
          <cell r="EE132">
            <v>0</v>
          </cell>
          <cell r="EH132">
            <v>0</v>
          </cell>
          <cell r="EI132">
            <v>2695.4603999999999</v>
          </cell>
          <cell r="EK132">
            <v>0</v>
          </cell>
          <cell r="EL132">
            <v>0</v>
          </cell>
          <cell r="EM132">
            <v>51251</v>
          </cell>
          <cell r="EO132">
            <v>53946.460399999996</v>
          </cell>
          <cell r="EP132">
            <v>0</v>
          </cell>
          <cell r="EQ132">
            <v>0</v>
          </cell>
          <cell r="ER132">
            <v>1763826.6855628153</v>
          </cell>
          <cell r="ES132">
            <v>0</v>
          </cell>
          <cell r="ET132">
            <v>92</v>
          </cell>
          <cell r="EU132">
            <v>19172.029190900164</v>
          </cell>
          <cell r="EV132" t="str">
            <v>No Variation Applied</v>
          </cell>
          <cell r="EW132">
            <v>31250</v>
          </cell>
          <cell r="EX132">
            <v>0</v>
          </cell>
          <cell r="EY132">
            <v>0</v>
          </cell>
          <cell r="EZ132">
            <v>0</v>
          </cell>
        </row>
        <row r="133">
          <cell r="C133" t="str">
            <v>St Clare's School</v>
          </cell>
          <cell r="D133">
            <v>7025</v>
          </cell>
          <cell r="F133" t="str">
            <v/>
          </cell>
          <cell r="G133">
            <v>0</v>
          </cell>
          <cell r="H133">
            <v>0</v>
          </cell>
          <cell r="I133">
            <v>0</v>
          </cell>
          <cell r="J133">
            <v>0</v>
          </cell>
          <cell r="L133">
            <v>0</v>
          </cell>
          <cell r="M133">
            <v>0</v>
          </cell>
          <cell r="N133">
            <v>0</v>
          </cell>
          <cell r="S133">
            <v>0</v>
          </cell>
          <cell r="T133">
            <v>0</v>
          </cell>
          <cell r="BE133">
            <v>16</v>
          </cell>
          <cell r="BF133">
            <v>0</v>
          </cell>
          <cell r="BG133">
            <v>62</v>
          </cell>
          <cell r="BH133">
            <v>0</v>
          </cell>
          <cell r="BI133">
            <v>0</v>
          </cell>
          <cell r="BJ133">
            <v>20</v>
          </cell>
          <cell r="BK133">
            <v>0</v>
          </cell>
          <cell r="BL133">
            <v>0</v>
          </cell>
          <cell r="BM133">
            <v>1</v>
          </cell>
          <cell r="BN133">
            <v>0</v>
          </cell>
          <cell r="BO133">
            <v>0</v>
          </cell>
          <cell r="BP133">
            <v>1140584.8458081461</v>
          </cell>
          <cell r="BQ133">
            <v>99</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I133">
            <v>27920</v>
          </cell>
          <cell r="CJ133">
            <v>0</v>
          </cell>
          <cell r="CK133">
            <v>0</v>
          </cell>
          <cell r="CL133">
            <v>1190</v>
          </cell>
          <cell r="CM133">
            <v>29110</v>
          </cell>
          <cell r="CN133">
            <v>0</v>
          </cell>
          <cell r="CO133">
            <v>0</v>
          </cell>
          <cell r="CP133">
            <v>0</v>
          </cell>
          <cell r="CQ133">
            <v>0</v>
          </cell>
          <cell r="CR133">
            <v>0</v>
          </cell>
          <cell r="CS133">
            <v>0</v>
          </cell>
          <cell r="CT133">
            <v>0</v>
          </cell>
          <cell r="CU133">
            <v>0</v>
          </cell>
          <cell r="CV133">
            <v>0</v>
          </cell>
          <cell r="CW133">
            <v>0</v>
          </cell>
          <cell r="CX133">
            <v>0</v>
          </cell>
          <cell r="CZ133">
            <v>0</v>
          </cell>
          <cell r="DC133">
            <v>0</v>
          </cell>
          <cell r="DD133">
            <v>0</v>
          </cell>
          <cell r="DE133">
            <v>0</v>
          </cell>
          <cell r="DF133">
            <v>0</v>
          </cell>
          <cell r="DG133">
            <v>0</v>
          </cell>
          <cell r="DH133">
            <v>0</v>
          </cell>
          <cell r="DI133">
            <v>0</v>
          </cell>
          <cell r="DJ133">
            <v>0</v>
          </cell>
          <cell r="DK133">
            <v>0</v>
          </cell>
          <cell r="DL133">
            <v>3859</v>
          </cell>
          <cell r="DM133">
            <v>231249</v>
          </cell>
          <cell r="DN133">
            <v>0</v>
          </cell>
          <cell r="DO133">
            <v>54271</v>
          </cell>
          <cell r="DP133">
            <v>1452</v>
          </cell>
          <cell r="DQ133">
            <v>290831</v>
          </cell>
          <cell r="DR133">
            <v>0</v>
          </cell>
          <cell r="DS133">
            <v>0</v>
          </cell>
          <cell r="DT133">
            <v>0</v>
          </cell>
          <cell r="DU133">
            <v>0</v>
          </cell>
          <cell r="DV133">
            <v>0</v>
          </cell>
          <cell r="DW133">
            <v>0</v>
          </cell>
          <cell r="DX133">
            <v>0</v>
          </cell>
          <cell r="DY133">
            <v>0</v>
          </cell>
          <cell r="DZ133">
            <v>0</v>
          </cell>
          <cell r="EA133">
            <v>0</v>
          </cell>
          <cell r="EB133">
            <v>0</v>
          </cell>
          <cell r="EE133">
            <v>0</v>
          </cell>
          <cell r="EH133">
            <v>0</v>
          </cell>
          <cell r="EI133">
            <v>0</v>
          </cell>
          <cell r="EK133">
            <v>0</v>
          </cell>
          <cell r="EL133">
            <v>0</v>
          </cell>
          <cell r="EM133">
            <v>21275</v>
          </cell>
          <cell r="EO133">
            <v>21275</v>
          </cell>
          <cell r="EP133">
            <v>0</v>
          </cell>
          <cell r="EQ133">
            <v>0</v>
          </cell>
          <cell r="ER133">
            <v>1481800.8458081461</v>
          </cell>
          <cell r="ES133">
            <v>0</v>
          </cell>
          <cell r="ET133">
            <v>99</v>
          </cell>
          <cell r="EU133">
            <v>14967.685311193394</v>
          </cell>
          <cell r="EV133" t="str">
            <v>No Variation Applied</v>
          </cell>
          <cell r="EW133">
            <v>32900</v>
          </cell>
          <cell r="EX133">
            <v>0</v>
          </cell>
          <cell r="EY133">
            <v>0</v>
          </cell>
          <cell r="EZ133">
            <v>0</v>
          </cell>
        </row>
        <row r="134">
          <cell r="C134" t="str">
            <v>Ivy House School</v>
          </cell>
          <cell r="D134">
            <v>7026</v>
          </cell>
          <cell r="F134" t="str">
            <v/>
          </cell>
          <cell r="G134">
            <v>0</v>
          </cell>
          <cell r="H134">
            <v>0</v>
          </cell>
          <cell r="I134">
            <v>0</v>
          </cell>
          <cell r="J134">
            <v>0</v>
          </cell>
          <cell r="L134">
            <v>0</v>
          </cell>
          <cell r="M134">
            <v>0</v>
          </cell>
          <cell r="N134">
            <v>0</v>
          </cell>
          <cell r="S134">
            <v>0</v>
          </cell>
          <cell r="T134">
            <v>0</v>
          </cell>
          <cell r="BE134">
            <v>0</v>
          </cell>
          <cell r="BF134">
            <v>0</v>
          </cell>
          <cell r="BG134">
            <v>0</v>
          </cell>
          <cell r="BH134">
            <v>2</v>
          </cell>
          <cell r="BI134">
            <v>4</v>
          </cell>
          <cell r="BJ134">
            <v>4</v>
          </cell>
          <cell r="BK134">
            <v>23</v>
          </cell>
          <cell r="BL134">
            <v>16</v>
          </cell>
          <cell r="BM134">
            <v>36</v>
          </cell>
          <cell r="BN134">
            <v>0</v>
          </cell>
          <cell r="BO134">
            <v>0</v>
          </cell>
          <cell r="BP134">
            <v>1481494.503795797</v>
          </cell>
          <cell r="BQ134">
            <v>85</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I134">
            <v>16397</v>
          </cell>
          <cell r="CJ134">
            <v>0</v>
          </cell>
          <cell r="CK134">
            <v>0</v>
          </cell>
          <cell r="CL134">
            <v>1116</v>
          </cell>
          <cell r="CM134">
            <v>17513</v>
          </cell>
          <cell r="CN134">
            <v>0</v>
          </cell>
          <cell r="CO134">
            <v>0</v>
          </cell>
          <cell r="CP134">
            <v>0</v>
          </cell>
          <cell r="CQ134">
            <v>0</v>
          </cell>
          <cell r="CR134">
            <v>0</v>
          </cell>
          <cell r="CS134">
            <v>0</v>
          </cell>
          <cell r="CT134">
            <v>0</v>
          </cell>
          <cell r="CU134">
            <v>0</v>
          </cell>
          <cell r="CV134">
            <v>0</v>
          </cell>
          <cell r="CW134">
            <v>0</v>
          </cell>
          <cell r="CX134">
            <v>0</v>
          </cell>
          <cell r="CZ134">
            <v>0</v>
          </cell>
          <cell r="DC134">
            <v>0</v>
          </cell>
          <cell r="DD134">
            <v>0</v>
          </cell>
          <cell r="DE134">
            <v>0</v>
          </cell>
          <cell r="DF134">
            <v>0</v>
          </cell>
          <cell r="DG134">
            <v>0</v>
          </cell>
          <cell r="DH134">
            <v>0</v>
          </cell>
          <cell r="DI134">
            <v>0</v>
          </cell>
          <cell r="DJ134">
            <v>0</v>
          </cell>
          <cell r="DK134">
            <v>0</v>
          </cell>
          <cell r="DL134">
            <v>4809</v>
          </cell>
          <cell r="DM134">
            <v>255712</v>
          </cell>
          <cell r="DN134">
            <v>0</v>
          </cell>
          <cell r="DO134">
            <v>135253</v>
          </cell>
          <cell r="DP134">
            <v>430</v>
          </cell>
          <cell r="DQ134">
            <v>396204</v>
          </cell>
          <cell r="DR134">
            <v>0</v>
          </cell>
          <cell r="DS134">
            <v>0</v>
          </cell>
          <cell r="DT134">
            <v>0</v>
          </cell>
          <cell r="DU134">
            <v>0</v>
          </cell>
          <cell r="DV134">
            <v>143000</v>
          </cell>
          <cell r="DW134">
            <v>62240</v>
          </cell>
          <cell r="DX134">
            <v>205240</v>
          </cell>
          <cell r="DY134">
            <v>0</v>
          </cell>
          <cell r="DZ134">
            <v>0</v>
          </cell>
          <cell r="EA134">
            <v>0</v>
          </cell>
          <cell r="EB134">
            <v>0</v>
          </cell>
          <cell r="EE134">
            <v>0</v>
          </cell>
          <cell r="EH134">
            <v>0</v>
          </cell>
          <cell r="EI134">
            <v>0</v>
          </cell>
          <cell r="EK134">
            <v>0</v>
          </cell>
          <cell r="EL134">
            <v>0</v>
          </cell>
          <cell r="EM134">
            <v>12941</v>
          </cell>
          <cell r="EO134">
            <v>12941</v>
          </cell>
          <cell r="EP134">
            <v>0</v>
          </cell>
          <cell r="EQ134">
            <v>0</v>
          </cell>
          <cell r="ER134">
            <v>2113392.503795797</v>
          </cell>
          <cell r="ES134">
            <v>0</v>
          </cell>
          <cell r="ET134">
            <v>85</v>
          </cell>
          <cell r="EU134">
            <v>24863.441221127025</v>
          </cell>
          <cell r="EV134" t="str">
            <v>No Variation Applied</v>
          </cell>
          <cell r="EW134">
            <v>10800</v>
          </cell>
          <cell r="EX134">
            <v>0</v>
          </cell>
          <cell r="EY134">
            <v>0</v>
          </cell>
          <cell r="EZ134">
            <v>0</v>
          </cell>
        </row>
        <row r="135">
          <cell r="C135" t="str">
            <v>St Andrew's School</v>
          </cell>
          <cell r="D135">
            <v>7027</v>
          </cell>
          <cell r="F135" t="str">
            <v/>
          </cell>
          <cell r="G135">
            <v>0</v>
          </cell>
          <cell r="H135">
            <v>0</v>
          </cell>
          <cell r="I135">
            <v>0</v>
          </cell>
          <cell r="J135">
            <v>0</v>
          </cell>
          <cell r="L135">
            <v>0</v>
          </cell>
          <cell r="M135">
            <v>0</v>
          </cell>
          <cell r="N135">
            <v>0</v>
          </cell>
          <cell r="S135">
            <v>0</v>
          </cell>
          <cell r="T135">
            <v>0</v>
          </cell>
          <cell r="BE135">
            <v>0</v>
          </cell>
          <cell r="BF135">
            <v>0</v>
          </cell>
          <cell r="BG135">
            <v>6</v>
          </cell>
          <cell r="BH135">
            <v>0</v>
          </cell>
          <cell r="BI135">
            <v>0</v>
          </cell>
          <cell r="BJ135">
            <v>54</v>
          </cell>
          <cell r="BK135">
            <v>0</v>
          </cell>
          <cell r="BL135">
            <v>0</v>
          </cell>
          <cell r="BM135">
            <v>34</v>
          </cell>
          <cell r="BN135">
            <v>17</v>
          </cell>
          <cell r="BO135">
            <v>7</v>
          </cell>
          <cell r="BP135">
            <v>1641880.3754284366</v>
          </cell>
          <cell r="BQ135">
            <v>118</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I135">
            <v>13960</v>
          </cell>
          <cell r="CJ135">
            <v>0</v>
          </cell>
          <cell r="CK135">
            <v>0</v>
          </cell>
          <cell r="CL135">
            <v>1034</v>
          </cell>
          <cell r="CM135">
            <v>14994</v>
          </cell>
          <cell r="CN135">
            <v>0</v>
          </cell>
          <cell r="CO135">
            <v>0</v>
          </cell>
          <cell r="CP135">
            <v>0</v>
          </cell>
          <cell r="CQ135">
            <v>0</v>
          </cell>
          <cell r="CR135">
            <v>0</v>
          </cell>
          <cell r="CS135">
            <v>0</v>
          </cell>
          <cell r="CT135">
            <v>0</v>
          </cell>
          <cell r="CU135">
            <v>0</v>
          </cell>
          <cell r="CV135">
            <v>0</v>
          </cell>
          <cell r="CW135">
            <v>0</v>
          </cell>
          <cell r="CX135">
            <v>0</v>
          </cell>
          <cell r="CZ135">
            <v>0</v>
          </cell>
          <cell r="DC135">
            <v>0</v>
          </cell>
          <cell r="DD135">
            <v>0</v>
          </cell>
          <cell r="DE135">
            <v>0</v>
          </cell>
          <cell r="DF135">
            <v>0</v>
          </cell>
          <cell r="DG135">
            <v>0</v>
          </cell>
          <cell r="DH135">
            <v>0</v>
          </cell>
          <cell r="DI135">
            <v>0</v>
          </cell>
          <cell r="DJ135">
            <v>0</v>
          </cell>
          <cell r="DK135">
            <v>0</v>
          </cell>
          <cell r="DL135">
            <v>6580</v>
          </cell>
          <cell r="DM135">
            <v>291249</v>
          </cell>
          <cell r="DN135">
            <v>144622</v>
          </cell>
          <cell r="DO135">
            <v>138796</v>
          </cell>
          <cell r="DP135">
            <v>768</v>
          </cell>
          <cell r="DQ135">
            <v>582015</v>
          </cell>
          <cell r="DR135">
            <v>0</v>
          </cell>
          <cell r="DS135">
            <v>0</v>
          </cell>
          <cell r="DT135">
            <v>0</v>
          </cell>
          <cell r="DU135">
            <v>0</v>
          </cell>
          <cell r="DV135">
            <v>0</v>
          </cell>
          <cell r="DW135">
            <v>24896</v>
          </cell>
          <cell r="DX135">
            <v>24896</v>
          </cell>
          <cell r="DY135">
            <v>0</v>
          </cell>
          <cell r="DZ135">
            <v>0</v>
          </cell>
          <cell r="EA135">
            <v>0</v>
          </cell>
          <cell r="EB135">
            <v>0</v>
          </cell>
          <cell r="EE135">
            <v>0</v>
          </cell>
          <cell r="EH135">
            <v>0</v>
          </cell>
          <cell r="EI135">
            <v>0</v>
          </cell>
          <cell r="EK135">
            <v>0</v>
          </cell>
          <cell r="EL135">
            <v>0</v>
          </cell>
          <cell r="EM135">
            <v>17888</v>
          </cell>
          <cell r="EO135">
            <v>17888</v>
          </cell>
          <cell r="EP135">
            <v>0</v>
          </cell>
          <cell r="EQ135">
            <v>0</v>
          </cell>
          <cell r="ER135">
            <v>2281673.3754284363</v>
          </cell>
          <cell r="ES135">
            <v>0</v>
          </cell>
          <cell r="ET135">
            <v>118</v>
          </cell>
          <cell r="EU135">
            <v>19336.215046003697</v>
          </cell>
          <cell r="EV135" t="str">
            <v>No Variation Applied</v>
          </cell>
          <cell r="EW135">
            <v>14200</v>
          </cell>
          <cell r="EX135">
            <v>0</v>
          </cell>
          <cell r="EY135">
            <v>0</v>
          </cell>
          <cell r="EZ135">
            <v>0</v>
          </cell>
        </row>
        <row r="136">
          <cell r="C136" t="str">
            <v>Kingsmead School</v>
          </cell>
          <cell r="D136">
            <v>7029</v>
          </cell>
          <cell r="F136" t="str">
            <v/>
          </cell>
          <cell r="G136">
            <v>0</v>
          </cell>
          <cell r="H136">
            <v>0</v>
          </cell>
          <cell r="I136">
            <v>0</v>
          </cell>
          <cell r="J136">
            <v>0</v>
          </cell>
          <cell r="L136">
            <v>0</v>
          </cell>
          <cell r="M136">
            <v>0</v>
          </cell>
          <cell r="N136">
            <v>0</v>
          </cell>
          <cell r="S136">
            <v>0</v>
          </cell>
          <cell r="T136">
            <v>0</v>
          </cell>
          <cell r="BE136">
            <v>0</v>
          </cell>
          <cell r="BF136">
            <v>0</v>
          </cell>
          <cell r="BG136">
            <v>0</v>
          </cell>
          <cell r="BH136">
            <v>0</v>
          </cell>
          <cell r="BI136">
            <v>0</v>
          </cell>
          <cell r="BJ136">
            <v>20</v>
          </cell>
          <cell r="BK136">
            <v>0</v>
          </cell>
          <cell r="BL136">
            <v>0</v>
          </cell>
          <cell r="BM136">
            <v>20</v>
          </cell>
          <cell r="BN136">
            <v>0</v>
          </cell>
          <cell r="BO136">
            <v>0</v>
          </cell>
          <cell r="BP136">
            <v>635871.5455866789</v>
          </cell>
          <cell r="BQ136">
            <v>40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I136">
            <v>10636</v>
          </cell>
          <cell r="CJ136">
            <v>0</v>
          </cell>
          <cell r="CK136">
            <v>0</v>
          </cell>
          <cell r="CL136">
            <v>0</v>
          </cell>
          <cell r="CM136">
            <v>10636</v>
          </cell>
          <cell r="CN136">
            <v>0</v>
          </cell>
          <cell r="CO136">
            <v>0</v>
          </cell>
          <cell r="CP136">
            <v>0</v>
          </cell>
          <cell r="CQ136">
            <v>0</v>
          </cell>
          <cell r="CR136">
            <v>0</v>
          </cell>
          <cell r="CS136">
            <v>0</v>
          </cell>
          <cell r="CT136">
            <v>0</v>
          </cell>
          <cell r="CU136">
            <v>0</v>
          </cell>
          <cell r="CV136">
            <v>0</v>
          </cell>
          <cell r="CW136">
            <v>0</v>
          </cell>
          <cell r="CX136">
            <v>0</v>
          </cell>
          <cell r="CZ136">
            <v>0</v>
          </cell>
          <cell r="DC136">
            <v>0</v>
          </cell>
          <cell r="DD136">
            <v>0</v>
          </cell>
          <cell r="DE136">
            <v>0</v>
          </cell>
          <cell r="DF136">
            <v>0</v>
          </cell>
          <cell r="DG136">
            <v>0</v>
          </cell>
          <cell r="DH136">
            <v>0</v>
          </cell>
          <cell r="DI136">
            <v>0</v>
          </cell>
          <cell r="DJ136">
            <v>0</v>
          </cell>
          <cell r="DK136">
            <v>0</v>
          </cell>
          <cell r="DL136">
            <v>2336</v>
          </cell>
          <cell r="DM136">
            <v>231249</v>
          </cell>
          <cell r="DN136">
            <v>0</v>
          </cell>
          <cell r="DO136">
            <v>119188</v>
          </cell>
          <cell r="DP136">
            <v>196</v>
          </cell>
          <cell r="DQ136">
            <v>352969</v>
          </cell>
          <cell r="DR136">
            <v>0</v>
          </cell>
          <cell r="DS136">
            <v>0</v>
          </cell>
          <cell r="DT136">
            <v>0</v>
          </cell>
          <cell r="DU136">
            <v>0</v>
          </cell>
          <cell r="DV136">
            <v>0</v>
          </cell>
          <cell r="DW136">
            <v>0</v>
          </cell>
          <cell r="DX136">
            <v>0</v>
          </cell>
          <cell r="DY136">
            <v>0</v>
          </cell>
          <cell r="DZ136">
            <v>0</v>
          </cell>
          <cell r="EA136">
            <v>0</v>
          </cell>
          <cell r="EB136">
            <v>0</v>
          </cell>
          <cell r="EE136">
            <v>0</v>
          </cell>
          <cell r="EH136">
            <v>0</v>
          </cell>
          <cell r="EI136">
            <v>0</v>
          </cell>
          <cell r="EK136">
            <v>0</v>
          </cell>
          <cell r="EL136">
            <v>0</v>
          </cell>
          <cell r="EM136">
            <v>1175876.9801444886</v>
          </cell>
          <cell r="EO136">
            <v>1175876.9801444886</v>
          </cell>
          <cell r="EP136">
            <v>0</v>
          </cell>
          <cell r="EQ136">
            <v>0</v>
          </cell>
          <cell r="ER136">
            <v>2175353.5257311678</v>
          </cell>
          <cell r="ES136">
            <v>0</v>
          </cell>
          <cell r="ET136">
            <v>40</v>
          </cell>
          <cell r="EU136">
            <v>54383.838143279194</v>
          </cell>
          <cell r="EV136" t="str">
            <v>No Variation Applied</v>
          </cell>
          <cell r="EW136">
            <v>14050</v>
          </cell>
          <cell r="EX136">
            <v>0</v>
          </cell>
          <cell r="EY136">
            <v>0</v>
          </cell>
          <cell r="EZ136">
            <v>0</v>
          </cell>
        </row>
        <row r="138">
          <cell r="B138" t="str">
            <v>Total/average Special Schools</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BE138">
            <v>16</v>
          </cell>
          <cell r="BF138">
            <v>2</v>
          </cell>
          <cell r="BG138">
            <v>89</v>
          </cell>
          <cell r="BH138">
            <v>23</v>
          </cell>
          <cell r="BI138">
            <v>36</v>
          </cell>
          <cell r="BJ138">
            <v>138</v>
          </cell>
          <cell r="BK138">
            <v>31</v>
          </cell>
          <cell r="BL138">
            <v>45</v>
          </cell>
          <cell r="BM138">
            <v>119</v>
          </cell>
          <cell r="BN138">
            <v>17</v>
          </cell>
          <cell r="BO138">
            <v>7</v>
          </cell>
          <cell r="BP138">
            <v>7549903.5119335018</v>
          </cell>
          <cell r="BQ138">
            <v>523</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135389</v>
          </cell>
          <cell r="CJ138">
            <v>0</v>
          </cell>
          <cell r="CK138">
            <v>0</v>
          </cell>
          <cell r="CL138">
            <v>4778</v>
          </cell>
          <cell r="CM138">
            <v>140167</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29039</v>
          </cell>
          <cell r="DM138">
            <v>1470931</v>
          </cell>
          <cell r="DN138">
            <v>144622</v>
          </cell>
          <cell r="DO138">
            <v>575743</v>
          </cell>
          <cell r="DP138">
            <v>4903</v>
          </cell>
          <cell r="DQ138">
            <v>2225238</v>
          </cell>
          <cell r="DR138">
            <v>0</v>
          </cell>
          <cell r="DS138">
            <v>11863</v>
          </cell>
          <cell r="DT138">
            <v>0</v>
          </cell>
          <cell r="DU138">
            <v>0</v>
          </cell>
          <cell r="DV138">
            <v>143000</v>
          </cell>
          <cell r="DW138">
            <v>112032</v>
          </cell>
          <cell r="DX138">
            <v>266895</v>
          </cell>
          <cell r="DY138">
            <v>0</v>
          </cell>
          <cell r="DZ138">
            <v>0</v>
          </cell>
          <cell r="EA138">
            <v>0</v>
          </cell>
          <cell r="EB138">
            <v>0</v>
          </cell>
          <cell r="EC138">
            <v>0</v>
          </cell>
          <cell r="ED138">
            <v>0</v>
          </cell>
          <cell r="EE138">
            <v>0</v>
          </cell>
          <cell r="EF138">
            <v>0</v>
          </cell>
          <cell r="EG138">
            <v>0</v>
          </cell>
          <cell r="EH138">
            <v>0</v>
          </cell>
          <cell r="EI138">
            <v>2695.4603999999999</v>
          </cell>
          <cell r="EJ138">
            <v>0</v>
          </cell>
          <cell r="EK138">
            <v>0</v>
          </cell>
          <cell r="EL138">
            <v>0</v>
          </cell>
          <cell r="EM138">
            <v>1302704.9801444886</v>
          </cell>
          <cell r="EN138">
            <v>0</v>
          </cell>
          <cell r="EO138">
            <v>1305400.4405444886</v>
          </cell>
          <cell r="EP138">
            <v>0</v>
          </cell>
          <cell r="EQ138">
            <v>0</v>
          </cell>
          <cell r="ER138">
            <v>11487603.95247799</v>
          </cell>
          <cell r="ES138">
            <v>0</v>
          </cell>
          <cell r="ET138">
            <v>523</v>
          </cell>
          <cell r="EU138">
            <v>21964.825912959826</v>
          </cell>
          <cell r="EW138">
            <v>135850</v>
          </cell>
          <cell r="EX138">
            <v>0</v>
          </cell>
          <cell r="EY138">
            <v>0</v>
          </cell>
          <cell r="EZ138">
            <v>0</v>
          </cell>
        </row>
        <row r="140">
          <cell r="B140" t="str">
            <v>Total All Schools</v>
          </cell>
          <cell r="G140">
            <v>310992</v>
          </cell>
          <cell r="H140">
            <v>1151748</v>
          </cell>
          <cell r="I140">
            <v>0</v>
          </cell>
          <cell r="J140">
            <v>0</v>
          </cell>
          <cell r="K140">
            <v>0</v>
          </cell>
          <cell r="L140">
            <v>5923748.0660770079</v>
          </cell>
          <cell r="M140">
            <v>1462740</v>
          </cell>
          <cell r="N140">
            <v>1539.7263157894736</v>
          </cell>
          <cell r="O140">
            <v>0</v>
          </cell>
          <cell r="P140">
            <v>0</v>
          </cell>
          <cell r="Q140">
            <v>0</v>
          </cell>
          <cell r="R140">
            <v>0</v>
          </cell>
          <cell r="S140">
            <v>0</v>
          </cell>
          <cell r="T140">
            <v>0</v>
          </cell>
          <cell r="U140">
            <v>3073</v>
          </cell>
          <cell r="V140">
            <v>0</v>
          </cell>
          <cell r="W140">
            <v>0</v>
          </cell>
          <cell r="X140">
            <v>0</v>
          </cell>
          <cell r="Y140">
            <v>2984</v>
          </cell>
          <cell r="Z140">
            <v>2902</v>
          </cell>
          <cell r="AA140">
            <v>2904</v>
          </cell>
          <cell r="AB140">
            <v>2754</v>
          </cell>
          <cell r="AC140">
            <v>2703</v>
          </cell>
          <cell r="AD140">
            <v>2705</v>
          </cell>
          <cell r="AE140">
            <v>0</v>
          </cell>
          <cell r="AF140">
            <v>0</v>
          </cell>
          <cell r="AG140">
            <v>0</v>
          </cell>
          <cell r="AH140">
            <v>0</v>
          </cell>
          <cell r="AI140">
            <v>0</v>
          </cell>
          <cell r="AJ140">
            <v>0</v>
          </cell>
          <cell r="AK140">
            <v>51787081.491367385</v>
          </cell>
          <cell r="AL140">
            <v>20025</v>
          </cell>
          <cell r="AM140">
            <v>0</v>
          </cell>
          <cell r="AN140">
            <v>0</v>
          </cell>
          <cell r="AO140">
            <v>0</v>
          </cell>
          <cell r="AP140">
            <v>0</v>
          </cell>
          <cell r="AQ140">
            <v>0</v>
          </cell>
          <cell r="AR140">
            <v>0</v>
          </cell>
          <cell r="AS140">
            <v>0</v>
          </cell>
          <cell r="AT140">
            <v>0</v>
          </cell>
          <cell r="AU140">
            <v>0</v>
          </cell>
          <cell r="AV140">
            <v>0</v>
          </cell>
          <cell r="AW140">
            <v>1689</v>
          </cell>
          <cell r="AX140">
            <v>1808</v>
          </cell>
          <cell r="AY140">
            <v>1784</v>
          </cell>
          <cell r="AZ140">
            <v>1835</v>
          </cell>
          <cell r="BA140">
            <v>1592</v>
          </cell>
          <cell r="BB140">
            <v>0</v>
          </cell>
          <cell r="BC140">
            <v>30553832.235700458</v>
          </cell>
          <cell r="BD140">
            <v>8708</v>
          </cell>
          <cell r="BE140">
            <v>16</v>
          </cell>
          <cell r="BF140">
            <v>2</v>
          </cell>
          <cell r="BG140">
            <v>89</v>
          </cell>
          <cell r="BH140">
            <v>23</v>
          </cell>
          <cell r="BI140">
            <v>36</v>
          </cell>
          <cell r="BJ140">
            <v>138</v>
          </cell>
          <cell r="BK140">
            <v>31</v>
          </cell>
          <cell r="BL140">
            <v>45</v>
          </cell>
          <cell r="BM140">
            <v>119</v>
          </cell>
          <cell r="BN140">
            <v>17</v>
          </cell>
          <cell r="BO140">
            <v>7</v>
          </cell>
          <cell r="BP140">
            <v>7549903.5119335018</v>
          </cell>
          <cell r="BQ140">
            <v>523</v>
          </cell>
          <cell r="BS140">
            <v>525700.08639999991</v>
          </cell>
          <cell r="BT140">
            <v>380000</v>
          </cell>
          <cell r="BU140">
            <v>69252.096799999999</v>
          </cell>
          <cell r="BV140">
            <v>18646</v>
          </cell>
          <cell r="BW140">
            <v>32073.469999999998</v>
          </cell>
          <cell r="BX140">
            <v>-34918.406751157832</v>
          </cell>
          <cell r="BY140">
            <v>70626.164628171973</v>
          </cell>
          <cell r="BZ140">
            <v>108415.77839999998</v>
          </cell>
          <cell r="CA140">
            <v>0</v>
          </cell>
          <cell r="CB140">
            <v>168619.43578717971</v>
          </cell>
          <cell r="CC140">
            <v>241368.7043117237</v>
          </cell>
          <cell r="CD140">
            <v>8840.6951250000002</v>
          </cell>
          <cell r="CE140">
            <v>1588624.0247009173</v>
          </cell>
          <cell r="CF140">
            <v>1338156.0566722197</v>
          </cell>
          <cell r="CG140">
            <v>0</v>
          </cell>
          <cell r="CH140">
            <v>0</v>
          </cell>
          <cell r="CI140">
            <v>135389</v>
          </cell>
          <cell r="CJ140">
            <v>77991.075364279008</v>
          </cell>
          <cell r="CK140">
            <v>704164.51000000013</v>
          </cell>
          <cell r="CL140">
            <v>332755.74815123453</v>
          </cell>
          <cell r="CM140">
            <v>2588456.3901877329</v>
          </cell>
          <cell r="CN140">
            <v>0</v>
          </cell>
          <cell r="CO140">
            <v>0</v>
          </cell>
          <cell r="CP140">
            <v>0</v>
          </cell>
          <cell r="CQ140">
            <v>732023.45202769502</v>
          </cell>
          <cell r="CR140">
            <v>1306309.7961938349</v>
          </cell>
          <cell r="CS140">
            <v>1247683.015255877</v>
          </cell>
          <cell r="CT140">
            <v>3286016.2634774065</v>
          </cell>
          <cell r="CU140">
            <v>759243.86929189134</v>
          </cell>
          <cell r="CV140">
            <v>72077.730024498669</v>
          </cell>
          <cell r="CW140">
            <v>831321.59931638977</v>
          </cell>
          <cell r="CX140">
            <v>3338877.434602343</v>
          </cell>
          <cell r="CY140">
            <v>0</v>
          </cell>
          <cell r="CZ140">
            <v>3338877.434602343</v>
          </cell>
          <cell r="DA140">
            <v>0</v>
          </cell>
          <cell r="DB140">
            <v>0</v>
          </cell>
          <cell r="DC140">
            <v>0</v>
          </cell>
          <cell r="DD140">
            <v>9055920.5484434441</v>
          </cell>
          <cell r="DE140">
            <v>8701755.2952482682</v>
          </cell>
          <cell r="DF140">
            <v>1058147.3480889015</v>
          </cell>
          <cell r="DG140">
            <v>2907199.1183558581</v>
          </cell>
          <cell r="DH140">
            <v>258568.94297647552</v>
          </cell>
          <cell r="DI140">
            <v>21981591.253112942</v>
          </cell>
          <cell r="DJ140">
            <v>166226.03999999998</v>
          </cell>
          <cell r="DK140">
            <v>1409617.7400000002</v>
          </cell>
          <cell r="DL140">
            <v>688465.21824652655</v>
          </cell>
          <cell r="DM140">
            <v>9710687.3305611014</v>
          </cell>
          <cell r="DN140">
            <v>144622</v>
          </cell>
          <cell r="DO140">
            <v>575743</v>
          </cell>
          <cell r="DP140">
            <v>4903</v>
          </cell>
          <cell r="DQ140">
            <v>12700264.32880763</v>
          </cell>
          <cell r="DR140">
            <v>587589.42528291629</v>
          </cell>
          <cell r="DS140">
            <v>84376</v>
          </cell>
          <cell r="DT140">
            <v>50936.109413244609</v>
          </cell>
          <cell r="DU140">
            <v>27384.055530732978</v>
          </cell>
          <cell r="DV140">
            <v>143000</v>
          </cell>
          <cell r="DW140">
            <v>112032</v>
          </cell>
          <cell r="DX140">
            <v>1005317.5902268939</v>
          </cell>
          <cell r="DY140">
            <v>877266.22579708369</v>
          </cell>
          <cell r="DZ140">
            <v>57749.274655992398</v>
          </cell>
          <cell r="EA140">
            <v>108895.07166036067</v>
          </cell>
          <cell r="EB140">
            <v>1043910.5721134368</v>
          </cell>
          <cell r="EC140">
            <v>0</v>
          </cell>
          <cell r="ED140">
            <v>0</v>
          </cell>
          <cell r="EE140">
            <v>0</v>
          </cell>
          <cell r="EF140">
            <v>0</v>
          </cell>
          <cell r="EG140">
            <v>0</v>
          </cell>
          <cell r="EH140">
            <v>0</v>
          </cell>
          <cell r="EI140">
            <v>133255.43587513699</v>
          </cell>
          <cell r="EJ140">
            <v>0</v>
          </cell>
          <cell r="EK140">
            <v>-865270.7348074466</v>
          </cell>
          <cell r="EL140">
            <v>494736</v>
          </cell>
          <cell r="EM140">
            <v>1338009.9801444886</v>
          </cell>
          <cell r="EN140">
            <v>0</v>
          </cell>
          <cell r="EO140">
            <v>1100730.6812121789</v>
          </cell>
          <cell r="EP140">
            <v>1163273.1498149754</v>
          </cell>
          <cell r="EQ140">
            <v>7512372.090777928</v>
          </cell>
          <cell r="ER140">
            <v>146442948.59265122</v>
          </cell>
          <cell r="ES140">
            <v>920</v>
          </cell>
          <cell r="ET140">
            <v>31715.726315789474</v>
          </cell>
          <cell r="EU140">
            <v>4617.3607104102648</v>
          </cell>
          <cell r="EW140">
            <v>5665150</v>
          </cell>
          <cell r="EX140">
            <v>0</v>
          </cell>
          <cell r="EY140">
            <v>0</v>
          </cell>
          <cell r="EZ140">
            <v>22203745.256624341</v>
          </cell>
        </row>
        <row r="143">
          <cell r="B143" t="str">
            <v>Memorandum items</v>
          </cell>
        </row>
        <row r="145">
          <cell r="B145" t="str">
            <v>Academy Funding for SEN pupils that would normally be delegated</v>
          </cell>
          <cell r="CZ145">
            <v>132989.68935707182</v>
          </cell>
        </row>
        <row r="147">
          <cell r="B147" t="str">
            <v>Pupil premium allocated to schools</v>
          </cell>
          <cell r="EW147">
            <v>5665150</v>
          </cell>
        </row>
        <row r="149">
          <cell r="B149" t="str">
            <v>Unallocated pupil premium </v>
          </cell>
          <cell r="EW149">
            <v>128350</v>
          </cell>
        </row>
        <row r="151">
          <cell r="B151" t="str">
            <v>Total pupil premium</v>
          </cell>
          <cell r="EW151">
            <v>5793500</v>
          </cell>
        </row>
        <row r="153">
          <cell r="B153" t="str">
            <v>Unallocated Threshold and performance pay</v>
          </cell>
          <cell r="EX153">
            <v>0</v>
          </cell>
        </row>
        <row r="155">
          <cell r="B155" t="str">
            <v>Total Threshold and performance pay</v>
          </cell>
          <cell r="EX155">
            <v>0</v>
          </cell>
        </row>
        <row r="157">
          <cell r="B157" t="str">
            <v>Unallocated funding to support schools in financial difficulties</v>
          </cell>
          <cell r="EY157">
            <v>150000</v>
          </cell>
        </row>
        <row r="159">
          <cell r="B159" t="str">
            <v>Total funding for schools in financial difficulties</v>
          </cell>
          <cell r="EY159">
            <v>150000</v>
          </cell>
        </row>
        <row r="170">
          <cell r="A170" t="str">
            <v>TABLE  Notes</v>
          </cell>
        </row>
        <row r="171">
          <cell r="A171" t="str">
            <v>Note that the information you provide in this section will be taken into account when returned to DfE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by type"/>
      <sheetName val="Summary- by group"/>
      <sheetName val="Soulbury"/>
      <sheetName val="TchS Staff-core serv EDB18"/>
      <sheetName val="TchSf-PRUks1-2 EDB08"/>
      <sheetName val="Tchs Staff -PRUks3 edb06"/>
      <sheetName val="TchS Staff -PRUks4 EDB15"/>
      <sheetName val="Tchs EDB16 -Prim ss"/>
      <sheetName val="TchS Staff -Sec SS EDB17"/>
      <sheetName val="Admin EDB09-EDB18"/>
      <sheetName val=" ECO core service EDB18"/>
      <sheetName val="ECO Pru ks1-2 EDB08"/>
      <sheetName val="ECO Pru ks3 EDB06"/>
      <sheetName val="ECO Pru ks4 EDB15"/>
      <sheetName val=" ECO PRIM SSrvice EDB16"/>
      <sheetName val="not used"/>
      <sheetName val="Non Staffing"/>
      <sheetName val="Pupil Numbers"/>
      <sheetName val="Pay Scales"/>
      <sheetName val="Printing"/>
      <sheetName val="Budget Plan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calculator - One to Use"/>
      <sheetName val="Calculator - for checking only"/>
      <sheetName val="Calculator"/>
      <sheetName val="0708"/>
      <sheetName val="Numbers"/>
      <sheetName val="Rates"/>
      <sheetName val="Nightingale"/>
    </sheetNames>
    <sheetDataSet>
      <sheetData sheetId="0" refreshError="1"/>
      <sheetData sheetId="1" refreshError="1"/>
      <sheetData sheetId="2" refreshError="1"/>
      <sheetData sheetId="3" refreshError="1"/>
      <sheetData sheetId="4" refreshError="1"/>
      <sheetData sheetId="5" refreshError="1">
        <row r="4">
          <cell r="A4" t="str">
            <v>Nursery</v>
          </cell>
        </row>
        <row r="5">
          <cell r="A5" t="str">
            <v>Primary</v>
          </cell>
        </row>
        <row r="6">
          <cell r="A6" t="str">
            <v>Secondary</v>
          </cell>
        </row>
        <row r="7">
          <cell r="A7" t="str">
            <v>Special</v>
          </cell>
        </row>
        <row r="8">
          <cell r="A8" t="str">
            <v>PRU</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10"/>
  <sheetViews>
    <sheetView tabSelected="1" view="pageBreakPreview" zoomScale="75" zoomScaleNormal="100" zoomScaleSheetLayoutView="75" workbookViewId="0">
      <pane xSplit="1" ySplit="5" topLeftCell="B111" activePane="bottomRight" state="frozen"/>
      <selection pane="topRight" activeCell="B1" sqref="B1"/>
      <selection pane="bottomLeft" activeCell="A6" sqref="A6"/>
      <selection pane="bottomRight" activeCell="B126" sqref="B126"/>
    </sheetView>
  </sheetViews>
  <sheetFormatPr defaultRowHeight="12.75" x14ac:dyDescent="0.2"/>
  <cols>
    <col min="1" max="1" width="9.140625" style="854"/>
    <col min="2" max="2" width="62.5703125" style="854" customWidth="1"/>
    <col min="3" max="3" width="35" style="854" customWidth="1"/>
    <col min="4" max="4" width="14.28515625" style="854" customWidth="1"/>
    <col min="5" max="6" width="16.42578125" style="854" customWidth="1"/>
    <col min="7" max="7" width="16.5703125" style="854" customWidth="1"/>
    <col min="8" max="10" width="20.85546875" style="1125" customWidth="1"/>
    <col min="11" max="11" width="12.7109375" style="853" hidden="1" customWidth="1"/>
    <col min="12" max="12" width="13.85546875" style="853" hidden="1" customWidth="1"/>
    <col min="13" max="13" width="12.140625" style="853" hidden="1" customWidth="1"/>
    <col min="14" max="14" width="11.28515625" style="853" hidden="1" customWidth="1"/>
    <col min="15" max="16" width="9.140625" style="853" hidden="1" customWidth="1"/>
    <col min="17" max="17" width="14.5703125" style="853" hidden="1" customWidth="1"/>
    <col min="18" max="18" width="14.5703125" style="854" hidden="1" customWidth="1"/>
    <col min="19" max="21" width="9.140625" style="854" hidden="1" customWidth="1"/>
    <col min="22" max="16384" width="9.140625" style="854"/>
  </cols>
  <sheetData>
    <row r="1" spans="2:18" ht="21" customHeight="1" x14ac:dyDescent="0.25">
      <c r="B1" s="849"/>
      <c r="C1" s="1194" t="s">
        <v>978</v>
      </c>
      <c r="D1" s="1194"/>
      <c r="E1" s="1194"/>
      <c r="F1" s="1194"/>
      <c r="G1" s="850"/>
      <c r="H1" s="851"/>
      <c r="I1" s="852"/>
      <c r="J1" s="852"/>
    </row>
    <row r="2" spans="2:18" ht="21" customHeight="1" x14ac:dyDescent="0.25">
      <c r="B2" s="855"/>
      <c r="C2" s="856"/>
      <c r="D2" s="856"/>
      <c r="E2" s="856"/>
      <c r="F2" s="857"/>
      <c r="G2" s="857"/>
      <c r="H2" s="858"/>
      <c r="I2" s="852"/>
      <c r="J2" s="852"/>
    </row>
    <row r="3" spans="2:18" ht="15" customHeight="1" thickBot="1" x14ac:dyDescent="0.3">
      <c r="B3" s="855"/>
      <c r="C3" s="859"/>
      <c r="D3" s="859"/>
      <c r="E3" s="859"/>
      <c r="F3" s="857"/>
      <c r="G3" s="857"/>
      <c r="H3" s="858"/>
      <c r="I3" s="852"/>
      <c r="J3" s="852"/>
      <c r="K3" s="860"/>
      <c r="L3" s="861">
        <f>VLOOKUP(B5,'School &amp; Nursery Setting Lookup'!A:E,5,FALSE)</f>
        <v>0</v>
      </c>
    </row>
    <row r="4" spans="2:18" ht="39.75" customHeight="1" thickBot="1" x14ac:dyDescent="0.3">
      <c r="B4" s="1195" t="s">
        <v>1013</v>
      </c>
      <c r="C4" s="1196"/>
      <c r="D4" s="1197"/>
      <c r="E4" s="862"/>
      <c r="F4" s="863" t="s">
        <v>839</v>
      </c>
      <c r="G4" s="862"/>
      <c r="H4" s="864" t="s">
        <v>483</v>
      </c>
      <c r="I4" s="865"/>
      <c r="J4" s="865"/>
      <c r="L4" s="861"/>
    </row>
    <row r="5" spans="2:18" ht="27" customHeight="1" thickBot="1" x14ac:dyDescent="0.3">
      <c r="B5" s="1184" t="s">
        <v>867</v>
      </c>
      <c r="C5" s="1185"/>
      <c r="D5" s="1186"/>
      <c r="E5" s="866"/>
      <c r="F5" s="867">
        <f>VLOOKUP(B5,'School &amp; Nursery Setting Lookup'!A:D,3,FALSE)</f>
        <v>12345</v>
      </c>
      <c r="G5" s="862"/>
      <c r="H5" s="868">
        <f>VLOOKUP($B$5,'School &amp; Nursery Setting Lookup'!$A:$D,4,FALSE)</f>
        <v>0</v>
      </c>
      <c r="I5" s="869"/>
      <c r="J5" s="865"/>
      <c r="L5" s="861"/>
    </row>
    <row r="6" spans="2:18" ht="27" customHeight="1" x14ac:dyDescent="0.25">
      <c r="B6" s="870"/>
      <c r="C6" s="1198"/>
      <c r="D6" s="1198"/>
      <c r="E6" s="1198"/>
      <c r="F6" s="866"/>
      <c r="G6" s="866"/>
      <c r="H6" s="871"/>
      <c r="I6" s="869"/>
      <c r="J6" s="865"/>
      <c r="L6" s="861"/>
    </row>
    <row r="7" spans="2:18" ht="27" customHeight="1" x14ac:dyDescent="0.25">
      <c r="B7" s="872"/>
      <c r="C7" s="1199" t="s">
        <v>1009</v>
      </c>
      <c r="D7" s="1199"/>
      <c r="E7" s="1199"/>
      <c r="F7" s="866"/>
      <c r="G7" s="866"/>
      <c r="H7" s="871"/>
      <c r="I7" s="869"/>
      <c r="J7" s="865"/>
      <c r="L7" s="861"/>
    </row>
    <row r="8" spans="2:18" ht="13.5" customHeight="1" x14ac:dyDescent="0.25">
      <c r="B8" s="872"/>
      <c r="C8" s="1199"/>
      <c r="D8" s="1199"/>
      <c r="E8" s="1199"/>
      <c r="F8" s="866"/>
      <c r="G8" s="866"/>
      <c r="H8" s="871"/>
      <c r="I8" s="866"/>
      <c r="J8" s="865"/>
      <c r="L8" s="861"/>
    </row>
    <row r="9" spans="2:18" ht="27" customHeight="1" thickBot="1" x14ac:dyDescent="0.3">
      <c r="B9" s="870"/>
      <c r="C9" s="856"/>
      <c r="D9" s="856"/>
      <c r="E9" s="856"/>
      <c r="F9" s="866"/>
      <c r="G9" s="866"/>
      <c r="H9" s="873"/>
      <c r="I9" s="866"/>
      <c r="J9" s="865"/>
      <c r="L9" s="861"/>
    </row>
    <row r="10" spans="2:18" ht="47.25" customHeight="1" thickBot="1" x14ac:dyDescent="0.3">
      <c r="B10" s="1187" t="s">
        <v>840</v>
      </c>
      <c r="C10" s="1188"/>
      <c r="D10" s="874" t="s">
        <v>841</v>
      </c>
      <c r="E10" s="875" t="s">
        <v>975</v>
      </c>
      <c r="F10" s="875" t="s">
        <v>976</v>
      </c>
      <c r="G10" s="875" t="s">
        <v>977</v>
      </c>
      <c r="H10" s="876" t="s">
        <v>843</v>
      </c>
      <c r="I10" s="877"/>
      <c r="J10" s="877"/>
      <c r="L10" s="878"/>
      <c r="M10" s="878"/>
      <c r="N10" s="878"/>
    </row>
    <row r="11" spans="2:18" ht="35.1" customHeight="1" x14ac:dyDescent="0.25">
      <c r="B11" s="879" t="s">
        <v>1002</v>
      </c>
      <c r="C11" s="880">
        <v>3.5636999999999999</v>
      </c>
      <c r="D11" s="1189" t="s">
        <v>844</v>
      </c>
      <c r="E11" s="881">
        <f>IF($L$3=1,L11,0)</f>
        <v>0</v>
      </c>
      <c r="F11" s="881">
        <f>IF($L$3=1,M11,0)</f>
        <v>0</v>
      </c>
      <c r="G11" s="881">
        <f>IF($L$3=1,N11,0)</f>
        <v>0</v>
      </c>
      <c r="H11" s="882">
        <f>IF($H$5=6,Q11,R11)</f>
        <v>0</v>
      </c>
      <c r="I11" s="883"/>
      <c r="J11" s="883"/>
      <c r="L11" s="884">
        <f>VLOOKUP($F$5,'Nursery Formula'!$C:$AQ,5,FALSE)</f>
        <v>0</v>
      </c>
      <c r="M11" s="884">
        <f>VLOOKUP($F$5,'Nursery Formula'!$C:$AQ,6,FALSE)</f>
        <v>0</v>
      </c>
      <c r="N11" s="884">
        <f>VLOOKUP($F$5,'Nursery Formula'!$C:$AQ,7,FALSE)</f>
        <v>0</v>
      </c>
      <c r="Q11" s="853">
        <f>IF(F$5=12345,0,1651446)</f>
        <v>0</v>
      </c>
      <c r="R11" s="883">
        <f>SUM($E11+$F11+$G11)*$C11</f>
        <v>0</v>
      </c>
    </row>
    <row r="12" spans="2:18" ht="35.1" customHeight="1" x14ac:dyDescent="0.25">
      <c r="B12" s="885" t="s">
        <v>845</v>
      </c>
      <c r="C12" s="886">
        <v>5.5246000000000004</v>
      </c>
      <c r="D12" s="1189"/>
      <c r="E12" s="887">
        <f>IF($L$3=2,L12,0)</f>
        <v>0</v>
      </c>
      <c r="F12" s="887">
        <f t="shared" ref="F12:G12" si="0">IF($L$3=2,M12,0)</f>
        <v>0</v>
      </c>
      <c r="G12" s="887">
        <f t="shared" si="0"/>
        <v>0</v>
      </c>
      <c r="H12" s="888">
        <f>IF($H$5=6,Q12,R12)</f>
        <v>0</v>
      </c>
      <c r="I12" s="883"/>
      <c r="J12" s="883"/>
      <c r="L12" s="884">
        <f>VLOOKUP($F$5,'Nursery Formula'!$C:$AQ,5,FALSE)</f>
        <v>0</v>
      </c>
      <c r="M12" s="884">
        <f>VLOOKUP($F$5,'Nursery Formula'!$C:$AQ,6,FALSE)</f>
        <v>0</v>
      </c>
      <c r="N12" s="884">
        <f>VLOOKUP($F$5,'Nursery Formula'!$C:$AQ,7,FALSE)</f>
        <v>0</v>
      </c>
      <c r="Q12" s="853">
        <f>IF(F$5=12345,0,4055026)</f>
        <v>0</v>
      </c>
      <c r="R12" s="883">
        <f t="shared" ref="R12:R14" si="1">SUM($E12+$F12+$G12)*$C12</f>
        <v>0</v>
      </c>
    </row>
    <row r="13" spans="2:18" ht="35.1" customHeight="1" x14ac:dyDescent="0.25">
      <c r="B13" s="885" t="s">
        <v>846</v>
      </c>
      <c r="C13" s="889">
        <f>3.6058989272</f>
        <v>3.6058989272000002</v>
      </c>
      <c r="D13" s="1189"/>
      <c r="E13" s="887">
        <f>IF($L$3=3,L13,0)</f>
        <v>0</v>
      </c>
      <c r="F13" s="887">
        <f t="shared" ref="F13:G13" si="2">IF($L$3=3,M13,0)</f>
        <v>0</v>
      </c>
      <c r="G13" s="887">
        <f t="shared" si="2"/>
        <v>0</v>
      </c>
      <c r="H13" s="888">
        <f>IF($H$5=6,Q13,R13)</f>
        <v>0</v>
      </c>
      <c r="I13" s="883"/>
      <c r="J13" s="883"/>
      <c r="L13" s="884">
        <f>VLOOKUP($F$5,'Nursery Formula'!$C:$AQ,5,FALSE)</f>
        <v>0</v>
      </c>
      <c r="M13" s="884">
        <f>VLOOKUP($F$5,'Nursery Formula'!$C:$AQ,6,FALSE)</f>
        <v>0</v>
      </c>
      <c r="N13" s="884">
        <f>VLOOKUP($F$5,'Nursery Formula'!$C:$AQ,7,FALSE)</f>
        <v>0</v>
      </c>
      <c r="Q13" s="853">
        <f>IF(F$5=12345,0,1273571)</f>
        <v>0</v>
      </c>
      <c r="R13" s="883">
        <f t="shared" si="1"/>
        <v>0</v>
      </c>
    </row>
    <row r="14" spans="2:18" ht="35.1" customHeight="1" thickBot="1" x14ac:dyDescent="0.3">
      <c r="B14" s="890" t="s">
        <v>847</v>
      </c>
      <c r="C14" s="889">
        <f>3.6058989272</f>
        <v>3.6058989272000002</v>
      </c>
      <c r="D14" s="1189"/>
      <c r="E14" s="887">
        <f>IF($L$3=4,L14,0)</f>
        <v>0</v>
      </c>
      <c r="F14" s="887">
        <f t="shared" ref="F14:G14" si="3">IF($L$3=4,M14,0)</f>
        <v>0</v>
      </c>
      <c r="G14" s="887">
        <f t="shared" si="3"/>
        <v>0</v>
      </c>
      <c r="H14" s="891">
        <f>IF($H$5=6,Q14,R14)</f>
        <v>0</v>
      </c>
      <c r="I14" s="883"/>
      <c r="J14" s="883"/>
      <c r="L14" s="884">
        <f>VLOOKUP($F$5,'Nursery Formula'!$C:$AQ,5,FALSE)</f>
        <v>0</v>
      </c>
      <c r="M14" s="884">
        <f>VLOOKUP($F$5,'Nursery Formula'!$C:$AQ,6,FALSE)</f>
        <v>0</v>
      </c>
      <c r="N14" s="884">
        <f>VLOOKUP($F$5,'Nursery Formula'!$C:$AQ,7,FALSE)</f>
        <v>0</v>
      </c>
      <c r="Q14" s="853">
        <f>IF(F$5=12345,0,3056670)</f>
        <v>0</v>
      </c>
      <c r="R14" s="883">
        <f t="shared" si="1"/>
        <v>0</v>
      </c>
    </row>
    <row r="15" spans="2:18" ht="35.1" customHeight="1" thickBot="1" x14ac:dyDescent="0.25">
      <c r="B15" s="892" t="s">
        <v>848</v>
      </c>
      <c r="C15" s="893" t="s">
        <v>841</v>
      </c>
      <c r="D15" s="894" t="s">
        <v>849</v>
      </c>
      <c r="E15" s="895" t="s">
        <v>842</v>
      </c>
      <c r="F15" s="895" t="s">
        <v>850</v>
      </c>
      <c r="G15" s="895"/>
      <c r="H15" s="896" t="s">
        <v>843</v>
      </c>
      <c r="I15" s="897"/>
      <c r="J15" s="897"/>
    </row>
    <row r="16" spans="2:18" ht="35.1" customHeight="1" x14ac:dyDescent="0.2">
      <c r="B16" s="898" t="s">
        <v>851</v>
      </c>
      <c r="C16" s="899">
        <v>0.2036</v>
      </c>
      <c r="D16" s="900" t="s">
        <v>844</v>
      </c>
      <c r="E16" s="901">
        <f>VLOOKUP($F$5,'Nursery Formula'!$C:$AQ,15,FALSE)</f>
        <v>0</v>
      </c>
      <c r="F16" s="881">
        <v>38</v>
      </c>
      <c r="G16" s="881"/>
      <c r="H16" s="882">
        <f>$F16*$E16*$C16</f>
        <v>0</v>
      </c>
      <c r="I16" s="883"/>
      <c r="J16" s="883"/>
    </row>
    <row r="17" spans="2:12" ht="35.1" customHeight="1" x14ac:dyDescent="0.2">
      <c r="B17" s="902" t="s">
        <v>852</v>
      </c>
      <c r="C17" s="903">
        <v>1.7611399999999999</v>
      </c>
      <c r="D17" s="904" t="s">
        <v>844</v>
      </c>
      <c r="E17" s="905">
        <f>VLOOKUP($F$5,'Nursery Formula'!$C:$AQ,19,FALSE)</f>
        <v>0</v>
      </c>
      <c r="F17" s="887">
        <v>38</v>
      </c>
      <c r="G17" s="881"/>
      <c r="H17" s="888">
        <f>$F17*$E17*$C17</f>
        <v>0</v>
      </c>
      <c r="I17" s="883"/>
      <c r="J17" s="883"/>
    </row>
    <row r="18" spans="2:12" ht="35.1" customHeight="1" thickBot="1" x14ac:dyDescent="0.25">
      <c r="B18" s="906" t="s">
        <v>359</v>
      </c>
      <c r="C18" s="907">
        <v>0.2036</v>
      </c>
      <c r="D18" s="908" t="s">
        <v>844</v>
      </c>
      <c r="E18" s="909">
        <f>VLOOKUP($F$5,'Nursery Formula'!$C:$AQ,33,FALSE)</f>
        <v>0</v>
      </c>
      <c r="F18" s="887">
        <v>38</v>
      </c>
      <c r="G18" s="881"/>
      <c r="H18" s="891">
        <f>$F18*$E18*$C18</f>
        <v>0</v>
      </c>
      <c r="I18" s="883"/>
      <c r="J18" s="883"/>
    </row>
    <row r="19" spans="2:12" ht="35.1" customHeight="1" thickBot="1" x14ac:dyDescent="0.25">
      <c r="B19" s="910" t="s">
        <v>853</v>
      </c>
      <c r="C19" s="911" t="s">
        <v>841</v>
      </c>
      <c r="D19" s="912" t="s">
        <v>854</v>
      </c>
      <c r="E19" s="911" t="s">
        <v>842</v>
      </c>
      <c r="F19" s="911"/>
      <c r="G19" s="911"/>
      <c r="H19" s="913" t="s">
        <v>843</v>
      </c>
      <c r="I19" s="897"/>
      <c r="J19" s="897"/>
    </row>
    <row r="20" spans="2:12" ht="35.1" customHeight="1" x14ac:dyDescent="0.2">
      <c r="B20" s="914" t="s">
        <v>895</v>
      </c>
      <c r="C20" s="915">
        <v>0</v>
      </c>
      <c r="D20" s="916" t="s">
        <v>855</v>
      </c>
      <c r="E20" s="881">
        <v>0</v>
      </c>
      <c r="F20" s="917"/>
      <c r="G20" s="917"/>
      <c r="H20" s="882">
        <f>IF(H11=1651446,80000,0)</f>
        <v>0</v>
      </c>
      <c r="I20" s="883"/>
      <c r="J20" s="883"/>
    </row>
    <row r="21" spans="2:12" ht="35.1" customHeight="1" thickBot="1" x14ac:dyDescent="0.25">
      <c r="B21" s="918"/>
      <c r="C21" s="919"/>
      <c r="D21" s="919"/>
      <c r="E21" s="920"/>
      <c r="F21" s="920"/>
      <c r="G21" s="920"/>
      <c r="H21" s="891"/>
      <c r="I21" s="883"/>
      <c r="J21" s="883"/>
    </row>
    <row r="22" spans="2:12" ht="35.1" customHeight="1" thickBot="1" x14ac:dyDescent="0.25">
      <c r="B22" s="921" t="s">
        <v>856</v>
      </c>
      <c r="C22" s="922" t="s">
        <v>841</v>
      </c>
      <c r="D22" s="923" t="s">
        <v>849</v>
      </c>
      <c r="E22" s="922" t="s">
        <v>842</v>
      </c>
      <c r="F22" s="922"/>
      <c r="G22" s="922"/>
      <c r="H22" s="924" t="s">
        <v>843</v>
      </c>
      <c r="I22" s="897"/>
      <c r="J22" s="897"/>
    </row>
    <row r="23" spans="2:12" ht="35.1" customHeight="1" x14ac:dyDescent="0.2">
      <c r="B23" s="914" t="s">
        <v>857</v>
      </c>
      <c r="C23" s="901">
        <v>100000</v>
      </c>
      <c r="D23" s="916" t="s">
        <v>855</v>
      </c>
      <c r="E23" s="901">
        <f>VLOOKUP($F$5,'Nursery Formula'!$C:$AQ,29,FALSE)</f>
        <v>0</v>
      </c>
      <c r="F23" s="917"/>
      <c r="G23" s="917"/>
      <c r="H23" s="882">
        <f t="shared" ref="H23:H27" si="4">$E23*$C23</f>
        <v>0</v>
      </c>
      <c r="I23" s="883"/>
      <c r="J23" s="883"/>
    </row>
    <row r="24" spans="2:12" ht="35.1" customHeight="1" x14ac:dyDescent="0.2">
      <c r="B24" s="918" t="s">
        <v>858</v>
      </c>
      <c r="C24" s="905">
        <f>VLOOKUP($F$5,'Nursery Formula'!$C:$AQ,23,FALSE)</f>
        <v>0</v>
      </c>
      <c r="D24" s="908"/>
      <c r="E24" s="925">
        <v>1</v>
      </c>
      <c r="F24" s="920"/>
      <c r="G24" s="920"/>
      <c r="H24" s="888">
        <f t="shared" si="4"/>
        <v>0</v>
      </c>
      <c r="I24" s="883"/>
      <c r="J24" s="883"/>
      <c r="K24" s="926"/>
    </row>
    <row r="25" spans="2:12" ht="35.1" customHeight="1" x14ac:dyDescent="0.2">
      <c r="B25" s="918" t="s">
        <v>859</v>
      </c>
      <c r="C25" s="905">
        <f>VLOOKUP($F$5,'Nursery Formula'!$C:$AQ,27,FALSE)</f>
        <v>0</v>
      </c>
      <c r="D25" s="908"/>
      <c r="E25" s="925">
        <v>1</v>
      </c>
      <c r="F25" s="920"/>
      <c r="G25" s="920"/>
      <c r="H25" s="888">
        <f t="shared" si="4"/>
        <v>0</v>
      </c>
      <c r="I25" s="883"/>
      <c r="J25" s="883"/>
      <c r="K25" s="926"/>
    </row>
    <row r="26" spans="2:12" ht="35.1" customHeight="1" x14ac:dyDescent="0.2">
      <c r="B26" s="918" t="s">
        <v>892</v>
      </c>
      <c r="C26" s="905">
        <v>0</v>
      </c>
      <c r="D26" s="908"/>
      <c r="E26" s="925">
        <v>1</v>
      </c>
      <c r="F26" s="920"/>
      <c r="G26" s="920"/>
      <c r="H26" s="888">
        <f t="shared" si="4"/>
        <v>0</v>
      </c>
      <c r="I26" s="883"/>
      <c r="J26" s="883"/>
      <c r="K26" s="927"/>
    </row>
    <row r="27" spans="2:12" ht="35.1" customHeight="1" x14ac:dyDescent="0.2">
      <c r="B27" s="928" t="s">
        <v>831</v>
      </c>
      <c r="C27" s="905">
        <v>0</v>
      </c>
      <c r="D27" s="908"/>
      <c r="E27" s="925">
        <v>1</v>
      </c>
      <c r="F27" s="920"/>
      <c r="G27" s="920"/>
      <c r="H27" s="888">
        <f t="shared" si="4"/>
        <v>0</v>
      </c>
      <c r="I27" s="883"/>
      <c r="J27" s="883"/>
      <c r="K27" s="929"/>
      <c r="L27" s="930"/>
    </row>
    <row r="28" spans="2:12" ht="35.1" customHeight="1" x14ac:dyDescent="0.25">
      <c r="B28" s="918" t="s">
        <v>1136</v>
      </c>
      <c r="C28" s="931">
        <f>VLOOKUP($F$5,'Nursery Formula'!$C:$AQ,39,FALSE)</f>
        <v>0</v>
      </c>
      <c r="D28" s="908"/>
      <c r="E28" s="1163" t="s">
        <v>1077</v>
      </c>
      <c r="F28" s="920"/>
      <c r="G28" s="920"/>
      <c r="H28" s="888"/>
      <c r="I28" s="883"/>
      <c r="J28" s="883"/>
      <c r="K28" s="929"/>
      <c r="L28" s="930"/>
    </row>
    <row r="29" spans="2:12" ht="35.1" customHeight="1" thickBot="1" x14ac:dyDescent="0.3">
      <c r="B29" s="932" t="s">
        <v>1137</v>
      </c>
      <c r="C29" s="933"/>
      <c r="D29" s="908"/>
      <c r="E29" s="1163" t="s">
        <v>1078</v>
      </c>
      <c r="F29" s="920"/>
      <c r="G29" s="920"/>
      <c r="H29" s="888"/>
      <c r="I29" s="883"/>
      <c r="J29" s="883"/>
      <c r="K29" s="926"/>
    </row>
    <row r="30" spans="2:12" ht="35.1" customHeight="1" thickBot="1" x14ac:dyDescent="0.3">
      <c r="B30" s="934" t="s">
        <v>1038</v>
      </c>
      <c r="C30" s="935"/>
      <c r="D30" s="936"/>
      <c r="E30" s="936"/>
      <c r="F30" s="936"/>
      <c r="G30" s="936"/>
      <c r="H30" s="937">
        <f>H11+H12+H13++H14+H16+H17+H18+H20+H21+H23+H24+H25+H26+H27+H28+H29</f>
        <v>0</v>
      </c>
      <c r="I30" s="938"/>
      <c r="J30" s="938"/>
    </row>
    <row r="31" spans="2:12" ht="27" customHeight="1" thickBot="1" x14ac:dyDescent="0.25">
      <c r="B31" s="1191" t="s">
        <v>1079</v>
      </c>
      <c r="C31" s="1192"/>
      <c r="D31" s="1192"/>
      <c r="E31" s="1192"/>
      <c r="F31" s="1192"/>
      <c r="G31" s="1192"/>
      <c r="H31" s="1193"/>
      <c r="I31" s="852"/>
      <c r="J31" s="852"/>
    </row>
    <row r="32" spans="2:12" ht="27" customHeight="1" x14ac:dyDescent="0.2">
      <c r="B32" s="855"/>
      <c r="C32" s="857"/>
      <c r="D32" s="857"/>
      <c r="E32" s="857"/>
      <c r="F32" s="857"/>
      <c r="G32" s="857"/>
      <c r="H32" s="858"/>
      <c r="I32" s="852"/>
      <c r="J32" s="852"/>
    </row>
    <row r="33" spans="2:10" ht="15.75" customHeight="1" x14ac:dyDescent="0.2">
      <c r="B33" s="855"/>
      <c r="C33" s="1199" t="s">
        <v>1010</v>
      </c>
      <c r="D33" s="1199"/>
      <c r="E33" s="1199"/>
      <c r="F33" s="857"/>
      <c r="G33" s="857"/>
      <c r="H33" s="858"/>
      <c r="I33" s="852"/>
      <c r="J33" s="852"/>
    </row>
    <row r="34" spans="2:10" ht="15.75" customHeight="1" x14ac:dyDescent="0.2">
      <c r="B34" s="855"/>
      <c r="C34" s="1199"/>
      <c r="D34" s="1199"/>
      <c r="E34" s="1199"/>
      <c r="F34" s="857"/>
      <c r="G34" s="857"/>
      <c r="H34" s="858"/>
      <c r="I34" s="852"/>
      <c r="J34" s="852"/>
    </row>
    <row r="35" spans="2:10" ht="27" customHeight="1" x14ac:dyDescent="0.2">
      <c r="B35" s="855"/>
      <c r="C35" s="939"/>
      <c r="D35" s="939"/>
      <c r="E35" s="939"/>
      <c r="F35" s="857"/>
      <c r="G35" s="857"/>
      <c r="H35" s="858"/>
      <c r="I35" s="852"/>
      <c r="J35" s="852"/>
    </row>
    <row r="36" spans="2:10" ht="27" customHeight="1" thickBot="1" x14ac:dyDescent="0.25">
      <c r="B36" s="855"/>
      <c r="C36" s="857"/>
      <c r="D36" s="857"/>
      <c r="E36" s="857"/>
      <c r="F36" s="857"/>
      <c r="G36" s="857"/>
      <c r="H36" s="858"/>
      <c r="I36" s="852"/>
      <c r="J36" s="852"/>
    </row>
    <row r="37" spans="2:10" ht="12.75" customHeight="1" x14ac:dyDescent="0.2">
      <c r="B37" s="940"/>
      <c r="C37" s="941"/>
      <c r="D37" s="1190" t="s">
        <v>836</v>
      </c>
      <c r="E37" s="1190"/>
      <c r="F37" s="1190"/>
      <c r="G37" s="942" t="s">
        <v>825</v>
      </c>
      <c r="H37" s="943" t="s">
        <v>815</v>
      </c>
      <c r="I37" s="944"/>
      <c r="J37" s="944"/>
    </row>
    <row r="38" spans="2:10" s="953" customFormat="1" ht="50.1" customHeight="1" thickBot="1" x14ac:dyDescent="0.25">
      <c r="B38" s="945" t="s">
        <v>287</v>
      </c>
      <c r="C38" s="946" t="s">
        <v>970</v>
      </c>
      <c r="D38" s="947"/>
      <c r="E38" s="948">
        <f>VLOOKUP($F$5,'Summary for Prints - updated'!B:AD,21,FALSE)</f>
        <v>0</v>
      </c>
      <c r="F38" s="949"/>
      <c r="G38" s="950">
        <v>1</v>
      </c>
      <c r="H38" s="951">
        <f>$G38*$E38</f>
        <v>0</v>
      </c>
      <c r="I38" s="952"/>
      <c r="J38" s="952"/>
    </row>
    <row r="39" spans="2:10" ht="12.75" customHeight="1" x14ac:dyDescent="0.2">
      <c r="B39" s="940"/>
      <c r="C39" s="941"/>
      <c r="D39" s="1169" t="s">
        <v>837</v>
      </c>
      <c r="E39" s="1169"/>
      <c r="F39" s="1169"/>
      <c r="G39" s="954" t="s">
        <v>825</v>
      </c>
      <c r="H39" s="955" t="s">
        <v>815</v>
      </c>
      <c r="I39" s="956"/>
      <c r="J39" s="956"/>
    </row>
    <row r="40" spans="2:10" ht="50.1" customHeight="1" thickBot="1" x14ac:dyDescent="0.3">
      <c r="B40" s="957" t="s">
        <v>838</v>
      </c>
      <c r="C40" s="946" t="s">
        <v>970</v>
      </c>
      <c r="D40" s="958"/>
      <c r="E40" s="948">
        <f>VLOOKUP($F$5,'Summary for Prints - updated'!B:AD,22,FALSE)</f>
        <v>0</v>
      </c>
      <c r="F40" s="959"/>
      <c r="G40" s="960">
        <v>1</v>
      </c>
      <c r="H40" s="951">
        <f>$G40*$E40</f>
        <v>0</v>
      </c>
      <c r="I40" s="961"/>
      <c r="J40" s="961"/>
    </row>
    <row r="41" spans="2:10" ht="12.75" customHeight="1" x14ac:dyDescent="0.2">
      <c r="B41" s="940"/>
      <c r="C41" s="941"/>
      <c r="D41" s="1169" t="s">
        <v>987</v>
      </c>
      <c r="E41" s="1169"/>
      <c r="F41" s="1169"/>
      <c r="G41" s="954" t="s">
        <v>864</v>
      </c>
      <c r="H41" s="955" t="s">
        <v>815</v>
      </c>
      <c r="I41" s="956"/>
      <c r="J41" s="956"/>
    </row>
    <row r="42" spans="2:10" ht="50.1" customHeight="1" thickBot="1" x14ac:dyDescent="0.3">
      <c r="B42" s="957" t="s">
        <v>988</v>
      </c>
      <c r="C42" s="946" t="s">
        <v>970</v>
      </c>
      <c r="D42" s="958"/>
      <c r="E42" s="948">
        <v>10000</v>
      </c>
      <c r="F42" s="959"/>
      <c r="G42" s="960">
        <f>SUMIF(ERS!A:A,$F$5,ERS!AH:AH)/10000</f>
        <v>0</v>
      </c>
      <c r="H42" s="951">
        <f>$G42*$E42</f>
        <v>0</v>
      </c>
      <c r="I42" s="952"/>
      <c r="J42" s="952"/>
    </row>
    <row r="43" spans="2:10" ht="12.75" customHeight="1" x14ac:dyDescent="0.2">
      <c r="B43" s="940"/>
      <c r="C43" s="941"/>
      <c r="D43" s="1169" t="s">
        <v>987</v>
      </c>
      <c r="E43" s="1169"/>
      <c r="F43" s="1169"/>
      <c r="G43" s="954" t="s">
        <v>864</v>
      </c>
      <c r="H43" s="955" t="s">
        <v>815</v>
      </c>
      <c r="I43" s="956"/>
      <c r="J43" s="956"/>
    </row>
    <row r="44" spans="2:10" ht="50.1" customHeight="1" thickBot="1" x14ac:dyDescent="0.3">
      <c r="B44" s="957" t="s">
        <v>989</v>
      </c>
      <c r="C44" s="946" t="s">
        <v>970</v>
      </c>
      <c r="D44" s="958"/>
      <c r="E44" s="948">
        <v>10000</v>
      </c>
      <c r="F44" s="959"/>
      <c r="G44" s="960">
        <f>SUMIF(ERS!A:A,$F$5,ERS!AI:AI)/10000</f>
        <v>0</v>
      </c>
      <c r="H44" s="951">
        <f>$G44*$E44</f>
        <v>0</v>
      </c>
      <c r="I44" s="952"/>
      <c r="J44" s="952"/>
    </row>
    <row r="45" spans="2:10" ht="12.75" customHeight="1" x14ac:dyDescent="0.2">
      <c r="B45" s="940"/>
      <c r="C45" s="941"/>
      <c r="D45" s="1169" t="s">
        <v>986</v>
      </c>
      <c r="E45" s="1169"/>
      <c r="F45" s="1169"/>
      <c r="G45" s="954" t="s">
        <v>825</v>
      </c>
      <c r="H45" s="955" t="s">
        <v>815</v>
      </c>
      <c r="I45" s="956"/>
      <c r="J45" s="956"/>
    </row>
    <row r="46" spans="2:10" ht="50.1" customHeight="1" thickBot="1" x14ac:dyDescent="0.3">
      <c r="B46" s="957" t="s">
        <v>1037</v>
      </c>
      <c r="C46" s="946" t="s">
        <v>970</v>
      </c>
      <c r="D46" s="958"/>
      <c r="E46" s="948">
        <f>SUMIF(ERS!A:A,$F$5,ERS!AA:AA)</f>
        <v>0</v>
      </c>
      <c r="F46" s="959"/>
      <c r="G46" s="960">
        <v>1</v>
      </c>
      <c r="H46" s="951">
        <f>$G46*$E46</f>
        <v>0</v>
      </c>
      <c r="I46" s="952"/>
      <c r="J46" s="952"/>
    </row>
    <row r="47" spans="2:10" ht="12.75" customHeight="1" x14ac:dyDescent="0.2">
      <c r="B47" s="940"/>
      <c r="C47" s="941"/>
      <c r="D47" s="1169" t="s">
        <v>893</v>
      </c>
      <c r="E47" s="1169"/>
      <c r="F47" s="1169"/>
      <c r="G47" s="954" t="s">
        <v>825</v>
      </c>
      <c r="H47" s="955" t="s">
        <v>815</v>
      </c>
      <c r="I47" s="956"/>
      <c r="J47" s="956"/>
    </row>
    <row r="48" spans="2:10" ht="50.1" customHeight="1" thickBot="1" x14ac:dyDescent="0.3">
      <c r="B48" s="957" t="s">
        <v>942</v>
      </c>
      <c r="C48" s="946" t="s">
        <v>970</v>
      </c>
      <c r="D48" s="958"/>
      <c r="E48" s="948">
        <f>SUMIF(ERS!A:A,$F$5,ERS!AB:AB)</f>
        <v>0</v>
      </c>
      <c r="F48" s="959"/>
      <c r="G48" s="960">
        <v>1</v>
      </c>
      <c r="H48" s="951">
        <f>$G48*$E48</f>
        <v>0</v>
      </c>
      <c r="I48" s="952"/>
      <c r="J48" s="952"/>
    </row>
    <row r="49" spans="2:17" ht="13.5" thickBot="1" x14ac:dyDescent="0.25">
      <c r="B49" s="940"/>
      <c r="C49" s="941"/>
      <c r="D49" s="1169"/>
      <c r="E49" s="1169"/>
      <c r="F49" s="1169"/>
      <c r="G49" s="954" t="s">
        <v>825</v>
      </c>
      <c r="H49" s="955" t="s">
        <v>815</v>
      </c>
      <c r="I49" s="956"/>
      <c r="J49" s="956"/>
    </row>
    <row r="50" spans="2:17" ht="50.1" customHeight="1" thickBot="1" x14ac:dyDescent="0.3">
      <c r="B50" s="962" t="s">
        <v>1035</v>
      </c>
      <c r="C50" s="1210" t="s">
        <v>990</v>
      </c>
      <c r="D50" s="1211"/>
      <c r="E50" s="1211"/>
      <c r="F50" s="1212"/>
      <c r="G50" s="963"/>
      <c r="H50" s="964">
        <f>H40+H42+H44+H46+H48+H38</f>
        <v>0</v>
      </c>
      <c r="I50" s="938"/>
      <c r="J50" s="938"/>
      <c r="K50" s="965"/>
    </row>
    <row r="51" spans="2:17" s="970" customFormat="1" ht="12.75" customHeight="1" x14ac:dyDescent="0.2">
      <c r="B51" s="966"/>
      <c r="C51" s="966"/>
      <c r="D51" s="1180"/>
      <c r="E51" s="1180"/>
      <c r="F51" s="1180"/>
      <c r="G51" s="967"/>
      <c r="H51" s="968"/>
      <c r="I51" s="956"/>
      <c r="J51" s="956"/>
      <c r="K51" s="969"/>
      <c r="L51" s="969"/>
      <c r="M51" s="969"/>
      <c r="N51" s="969"/>
      <c r="O51" s="969"/>
      <c r="P51" s="969"/>
      <c r="Q51" s="969"/>
    </row>
    <row r="52" spans="2:17" s="970" customFormat="1" ht="15" customHeight="1" x14ac:dyDescent="0.2">
      <c r="B52" s="971"/>
      <c r="C52" s="971"/>
      <c r="D52" s="1216" t="s">
        <v>991</v>
      </c>
      <c r="E52" s="1216"/>
      <c r="F52" s="1216"/>
      <c r="G52" s="972" t="s">
        <v>825</v>
      </c>
      <c r="H52" s="973" t="s">
        <v>815</v>
      </c>
      <c r="I52" s="956"/>
      <c r="J52" s="956"/>
      <c r="K52" s="969"/>
      <c r="L52" s="969"/>
      <c r="M52" s="969"/>
      <c r="N52" s="969"/>
      <c r="O52" s="969"/>
      <c r="P52" s="969"/>
      <c r="Q52" s="969"/>
    </row>
    <row r="53" spans="2:17" ht="50.1" customHeight="1" thickBot="1" x14ac:dyDescent="0.3">
      <c r="B53" s="974" t="s">
        <v>1036</v>
      </c>
      <c r="C53" s="975" t="s">
        <v>970</v>
      </c>
      <c r="D53" s="976"/>
      <c r="E53" s="977">
        <f>SUMIF(ERS!A:A,$F$5,ERS!AD:AD)</f>
        <v>0</v>
      </c>
      <c r="F53" s="978"/>
      <c r="G53" s="979">
        <v>1</v>
      </c>
      <c r="H53" s="980">
        <f>$G53*$E53</f>
        <v>0</v>
      </c>
      <c r="I53" s="961"/>
      <c r="J53" s="961"/>
    </row>
    <row r="54" spans="2:17" s="970" customFormat="1" ht="15" customHeight="1" thickBot="1" x14ac:dyDescent="0.3">
      <c r="B54" s="981"/>
      <c r="C54" s="982"/>
      <c r="D54" s="983"/>
      <c r="E54" s="984"/>
      <c r="F54" s="985"/>
      <c r="G54" s="986"/>
      <c r="H54" s="987"/>
      <c r="I54" s="952"/>
      <c r="J54" s="952"/>
      <c r="K54" s="969"/>
      <c r="L54" s="969"/>
      <c r="M54" s="969"/>
      <c r="N54" s="969"/>
      <c r="O54" s="969"/>
      <c r="P54" s="969"/>
      <c r="Q54" s="969"/>
    </row>
    <row r="55" spans="2:17" ht="13.5" thickBot="1" x14ac:dyDescent="0.25">
      <c r="B55" s="988"/>
      <c r="C55" s="989"/>
      <c r="D55" s="1218"/>
      <c r="E55" s="1218"/>
      <c r="F55" s="1218"/>
      <c r="G55" s="990"/>
      <c r="H55" s="991"/>
      <c r="I55" s="944"/>
      <c r="J55" s="944"/>
    </row>
    <row r="56" spans="2:17" s="970" customFormat="1" ht="19.5" customHeight="1" thickBot="1" x14ac:dyDescent="0.3">
      <c r="B56" s="1181" t="s">
        <v>1034</v>
      </c>
      <c r="C56" s="1182"/>
      <c r="D56" s="1182"/>
      <c r="E56" s="1182"/>
      <c r="F56" s="1182"/>
      <c r="G56" s="1182"/>
      <c r="H56" s="1183"/>
      <c r="I56" s="938"/>
      <c r="J56" s="938"/>
      <c r="K56" s="992"/>
      <c r="L56" s="969"/>
      <c r="M56" s="969"/>
      <c r="N56" s="969"/>
      <c r="O56" s="969"/>
      <c r="P56" s="969"/>
      <c r="Q56" s="969"/>
    </row>
    <row r="57" spans="2:17" s="970" customFormat="1" ht="50.1" customHeight="1" x14ac:dyDescent="0.25">
      <c r="B57" s="993"/>
      <c r="C57" s="994"/>
      <c r="D57" s="995"/>
      <c r="E57" s="938"/>
      <c r="F57" s="996"/>
      <c r="G57" s="997"/>
      <c r="H57" s="938"/>
      <c r="I57" s="938"/>
      <c r="J57" s="938"/>
      <c r="K57" s="992"/>
      <c r="L57" s="969"/>
      <c r="M57" s="969"/>
      <c r="N57" s="969"/>
      <c r="O57" s="969"/>
      <c r="P57" s="969"/>
      <c r="Q57" s="969"/>
    </row>
    <row r="58" spans="2:17" ht="15.75" thickBot="1" x14ac:dyDescent="0.25">
      <c r="B58" s="857"/>
      <c r="C58" s="857"/>
      <c r="D58" s="857"/>
      <c r="E58" s="857"/>
      <c r="F58" s="857"/>
      <c r="G58" s="857"/>
      <c r="H58" s="998"/>
      <c r="I58" s="998"/>
      <c r="J58" s="998"/>
      <c r="K58" s="860"/>
    </row>
    <row r="59" spans="2:17" ht="15.75" customHeight="1" x14ac:dyDescent="0.2">
      <c r="B59" s="849"/>
      <c r="C59" s="1217" t="s">
        <v>894</v>
      </c>
      <c r="D59" s="1217"/>
      <c r="E59" s="1217"/>
      <c r="F59" s="850"/>
      <c r="G59" s="850"/>
      <c r="H59" s="851"/>
      <c r="I59" s="851"/>
      <c r="J59" s="851"/>
    </row>
    <row r="60" spans="2:17" ht="15.75" customHeight="1" x14ac:dyDescent="0.2">
      <c r="B60" s="855"/>
      <c r="C60" s="1199"/>
      <c r="D60" s="1199"/>
      <c r="E60" s="1199"/>
      <c r="F60" s="857"/>
      <c r="G60" s="857"/>
      <c r="H60" s="858"/>
      <c r="I60" s="858"/>
      <c r="J60" s="858"/>
    </row>
    <row r="61" spans="2:17" x14ac:dyDescent="0.2">
      <c r="B61" s="999"/>
      <c r="C61" s="857"/>
      <c r="D61" s="857"/>
      <c r="E61" s="857"/>
      <c r="F61" s="857"/>
      <c r="G61" s="857"/>
      <c r="H61" s="858"/>
      <c r="I61" s="858"/>
      <c r="J61" s="858"/>
    </row>
    <row r="62" spans="2:17" ht="13.5" thickBot="1" x14ac:dyDescent="0.25">
      <c r="B62" s="1000"/>
      <c r="C62" s="1001"/>
      <c r="D62" s="1001"/>
      <c r="E62" s="1001"/>
      <c r="F62" s="1001"/>
      <c r="G62" s="1001"/>
      <c r="H62" s="1002"/>
      <c r="I62" s="1002"/>
      <c r="J62" s="1002"/>
    </row>
    <row r="63" spans="2:17" s="1011" customFormat="1" ht="65.099999999999994" customHeight="1" x14ac:dyDescent="0.2">
      <c r="B63" s="940" t="s">
        <v>798</v>
      </c>
      <c r="C63" s="941" t="s">
        <v>799</v>
      </c>
      <c r="D63" s="1003" t="s">
        <v>800</v>
      </c>
      <c r="E63" s="1004" t="s">
        <v>801</v>
      </c>
      <c r="F63" s="1005" t="s">
        <v>946</v>
      </c>
      <c r="G63" s="1006" t="s">
        <v>944</v>
      </c>
      <c r="H63" s="1007" t="s">
        <v>803</v>
      </c>
      <c r="I63" s="1008" t="s">
        <v>965</v>
      </c>
      <c r="J63" s="1009" t="s">
        <v>966</v>
      </c>
      <c r="K63" s="1010"/>
      <c r="L63" s="1010"/>
      <c r="M63" s="1010"/>
      <c r="N63" s="1010"/>
      <c r="O63" s="1010"/>
      <c r="P63" s="1010"/>
      <c r="Q63" s="1010"/>
    </row>
    <row r="64" spans="2:17" ht="27" customHeight="1" x14ac:dyDescent="0.2">
      <c r="B64" s="1176" t="s">
        <v>804</v>
      </c>
      <c r="C64" s="1012" t="s">
        <v>805</v>
      </c>
      <c r="D64" s="1013">
        <f>'For proforma'!F3</f>
        <v>2442.0651000000003</v>
      </c>
      <c r="E64" s="948">
        <f>'For proforma'!H3</f>
        <v>-73.013413092534805</v>
      </c>
      <c r="F64" s="1013">
        <f>D64+E64</f>
        <v>2369.0516869074654</v>
      </c>
      <c r="G64" s="1014">
        <f>VLOOKUP($F$5,AWPU!B:M,9,FALSE)</f>
        <v>0</v>
      </c>
      <c r="H64" s="1015">
        <f>VLOOKUP($F$5,AWPU!$B:$X,15,FALSE)+VLOOKUP($F$5,AWPU!$B:$X,20,FALSE)</f>
        <v>0</v>
      </c>
      <c r="I64" s="1016">
        <v>0.11996825711963002</v>
      </c>
      <c r="J64" s="1017">
        <f>D64*G64*I64</f>
        <v>0</v>
      </c>
    </row>
    <row r="65" spans="2:17" ht="27" customHeight="1" x14ac:dyDescent="0.2">
      <c r="B65" s="1219"/>
      <c r="C65" s="1012" t="s">
        <v>1011</v>
      </c>
      <c r="D65" s="1013">
        <f>'For proforma'!F4</f>
        <v>3465.2058000000002</v>
      </c>
      <c r="E65" s="948">
        <f>'For proforma'!H4</f>
        <v>-59.501067947573937</v>
      </c>
      <c r="F65" s="1013">
        <f>D65+E65</f>
        <v>3405.7047320524262</v>
      </c>
      <c r="G65" s="1014">
        <f>VLOOKUP($F$5,AWPU!B:M,10,FALSE)</f>
        <v>0</v>
      </c>
      <c r="H65" s="1015">
        <f>VLOOKUP($F$5,AWPU!$B:$X,16,FALSE)+VLOOKUP($F$5,AWPU!$B:$X,21,FALSE)</f>
        <v>0</v>
      </c>
      <c r="I65" s="1016">
        <v>9.6990121973435081E-2</v>
      </c>
      <c r="J65" s="1017">
        <f>D65*G65*I65</f>
        <v>0</v>
      </c>
    </row>
    <row r="66" spans="2:17" ht="27" customHeight="1" x14ac:dyDescent="0.2">
      <c r="B66" s="1220"/>
      <c r="C66" s="1012" t="s">
        <v>1012</v>
      </c>
      <c r="D66" s="1013">
        <f>'For proforma'!F5</f>
        <v>3892.8722000000002</v>
      </c>
      <c r="E66" s="948">
        <f>'For proforma'!H5</f>
        <v>-59.501067947573937</v>
      </c>
      <c r="F66" s="1013">
        <f>D66+E66</f>
        <v>3833.3711320524262</v>
      </c>
      <c r="G66" s="1014">
        <f>VLOOKUP($F$5,AWPU!B:M,11,FALSE)</f>
        <v>0</v>
      </c>
      <c r="H66" s="1015">
        <f>VLOOKUP($F$5,AWPU!$B:$X,17,FALSE)+VLOOKUP($F$5,AWPU!$B:$X,22,FALSE)</f>
        <v>0</v>
      </c>
      <c r="I66" s="1016">
        <v>8.6334900283922683E-2</v>
      </c>
      <c r="J66" s="1017">
        <f>D66*G66*I66</f>
        <v>0</v>
      </c>
    </row>
    <row r="67" spans="2:17" ht="16.5" thickBot="1" x14ac:dyDescent="0.3">
      <c r="B67" s="1018"/>
      <c r="C67" s="1019"/>
      <c r="D67" s="1020"/>
      <c r="E67" s="1020"/>
      <c r="F67" s="1021" t="s">
        <v>291</v>
      </c>
      <c r="G67" s="1022">
        <f>SUM(G64:G66)</f>
        <v>0</v>
      </c>
      <c r="H67" s="1023">
        <f>SUM(H64:H66)</f>
        <v>0</v>
      </c>
      <c r="I67" s="1024"/>
      <c r="J67" s="1025"/>
    </row>
    <row r="68" spans="2:17" s="1028" customFormat="1" ht="12.75" customHeight="1" thickBot="1" x14ac:dyDescent="0.25">
      <c r="B68" s="1213"/>
      <c r="C68" s="1214"/>
      <c r="D68" s="1214"/>
      <c r="E68" s="1214"/>
      <c r="F68" s="1214"/>
      <c r="G68" s="1214"/>
      <c r="H68" s="1215"/>
      <c r="I68" s="1026"/>
      <c r="J68" s="1027"/>
    </row>
    <row r="69" spans="2:17" ht="52.5" customHeight="1" x14ac:dyDescent="0.2">
      <c r="B69" s="1029"/>
      <c r="C69" s="971"/>
      <c r="D69" s="1030" t="s">
        <v>808</v>
      </c>
      <c r="E69" s="1030" t="s">
        <v>809</v>
      </c>
      <c r="F69" s="1030" t="s">
        <v>810</v>
      </c>
      <c r="G69" s="1031" t="s">
        <v>811</v>
      </c>
      <c r="H69" s="1032" t="s">
        <v>803</v>
      </c>
      <c r="I69" s="1008" t="s">
        <v>965</v>
      </c>
      <c r="J69" s="1009" t="s">
        <v>966</v>
      </c>
      <c r="K69" s="1033"/>
      <c r="L69" s="1033"/>
      <c r="M69" s="1033"/>
    </row>
    <row r="70" spans="2:17" ht="27" customHeight="1" x14ac:dyDescent="0.2">
      <c r="B70" s="1200" t="s">
        <v>812</v>
      </c>
      <c r="C70" s="1034"/>
      <c r="D70" s="1035"/>
      <c r="E70" s="1035"/>
      <c r="F70" s="1036"/>
      <c r="G70" s="1036"/>
      <c r="H70" s="1037">
        <f>IF(H71+H72+H73+H74+H75+H76+H77=0,Q70,"0")</f>
        <v>0</v>
      </c>
      <c r="I70" s="1038"/>
      <c r="J70" s="1039"/>
      <c r="K70" s="1033"/>
      <c r="L70" s="1033"/>
      <c r="M70" s="1033"/>
      <c r="N70" s="1037" t="e">
        <f>SUM(E11+F11+G11)*"C11"</f>
        <v>#VALUE!</v>
      </c>
      <c r="Q70" s="853">
        <f>VLOOKUP(F5,Deprivation!B:P,15,FALSE)</f>
        <v>0</v>
      </c>
    </row>
    <row r="71" spans="2:17" ht="27" customHeight="1" x14ac:dyDescent="0.2">
      <c r="B71" s="1201"/>
      <c r="C71" s="1040" t="s">
        <v>813</v>
      </c>
      <c r="D71" s="1013">
        <v>933.86172170858913</v>
      </c>
      <c r="E71" s="1013">
        <v>715.21270513666468</v>
      </c>
      <c r="F71" s="1014">
        <f>VLOOKUP($F$5,Deprivation!$B:$AE,17,FALSE)</f>
        <v>0</v>
      </c>
      <c r="G71" s="1014">
        <f>VLOOKUP($F$5,Deprivation!$B:$AE,18,FALSE)</f>
        <v>0</v>
      </c>
      <c r="H71" s="1041">
        <f t="shared" ref="H71:H77" si="5">$D71*$F71+($E71*$G71)</f>
        <v>0</v>
      </c>
      <c r="I71" s="1016">
        <v>0.35251785880652542</v>
      </c>
      <c r="J71" s="1017">
        <f t="shared" ref="J71:J76" si="6">I71*H71</f>
        <v>0</v>
      </c>
      <c r="K71" s="1033"/>
      <c r="L71" s="1033"/>
      <c r="M71" s="1033"/>
    </row>
    <row r="72" spans="2:17" ht="27" customHeight="1" x14ac:dyDescent="0.2">
      <c r="B72" s="1201"/>
      <c r="C72" s="1042" t="s">
        <v>182</v>
      </c>
      <c r="D72" s="1013">
        <v>117.30841547807324</v>
      </c>
      <c r="E72" s="1013">
        <v>93.126835011549474</v>
      </c>
      <c r="F72" s="1014">
        <f>VLOOKUP($F$5,Deprivation!$B:$AE,19,FALSE)</f>
        <v>0</v>
      </c>
      <c r="G72" s="1014">
        <f>VLOOKUP($F$5,Deprivation!$B:$AE,20,FALSE)</f>
        <v>0</v>
      </c>
      <c r="H72" s="1041">
        <f t="shared" si="5"/>
        <v>0</v>
      </c>
      <c r="I72" s="1016">
        <v>0.35251785880652542</v>
      </c>
      <c r="J72" s="1017">
        <f t="shared" si="6"/>
        <v>0</v>
      </c>
      <c r="K72" s="1033"/>
      <c r="L72" s="1033"/>
      <c r="M72" s="1033"/>
    </row>
    <row r="73" spans="2:17" ht="27" customHeight="1" x14ac:dyDescent="0.2">
      <c r="B73" s="1201"/>
      <c r="C73" s="1042" t="s">
        <v>183</v>
      </c>
      <c r="D73" s="1013">
        <v>234.6255044064591</v>
      </c>
      <c r="E73" s="1013">
        <v>186.68734253409619</v>
      </c>
      <c r="F73" s="1014">
        <f>VLOOKUP($F$5,Deprivation!$B:$AE,21,FALSE)</f>
        <v>0</v>
      </c>
      <c r="G73" s="1014">
        <f>VLOOKUP($F$5,Deprivation!$B:$AE,22,FALSE)</f>
        <v>0</v>
      </c>
      <c r="H73" s="1041">
        <f t="shared" si="5"/>
        <v>0</v>
      </c>
      <c r="I73" s="1016">
        <v>0.35251785880652542</v>
      </c>
      <c r="J73" s="1017">
        <f t="shared" si="6"/>
        <v>0</v>
      </c>
      <c r="K73" s="1033"/>
      <c r="L73" s="1033"/>
      <c r="M73" s="1033"/>
    </row>
    <row r="74" spans="2:17" ht="27" customHeight="1" x14ac:dyDescent="0.2">
      <c r="B74" s="1201"/>
      <c r="C74" s="1042" t="s">
        <v>184</v>
      </c>
      <c r="D74" s="1013">
        <v>352.38493930078818</v>
      </c>
      <c r="E74" s="1013">
        <v>279.82285099586556</v>
      </c>
      <c r="F74" s="1014">
        <f>VLOOKUP($F$5,Deprivation!$B:$AE,23,FALSE)</f>
        <v>0</v>
      </c>
      <c r="G74" s="1014">
        <f>VLOOKUP($F$5,Deprivation!$B:$AE,24,FALSE)</f>
        <v>0</v>
      </c>
      <c r="H74" s="1041">
        <f t="shared" si="5"/>
        <v>0</v>
      </c>
      <c r="I74" s="1016">
        <v>0.35251785880652542</v>
      </c>
      <c r="J74" s="1017">
        <f t="shared" si="6"/>
        <v>0</v>
      </c>
      <c r="K74" s="1033"/>
      <c r="L74" s="1033"/>
      <c r="M74" s="1033"/>
    </row>
    <row r="75" spans="2:17" ht="27" customHeight="1" x14ac:dyDescent="0.2">
      <c r="B75" s="1201"/>
      <c r="C75" s="1042" t="s">
        <v>185</v>
      </c>
      <c r="D75" s="1013">
        <v>469.69335477886142</v>
      </c>
      <c r="E75" s="1013">
        <v>372.9496860074151</v>
      </c>
      <c r="F75" s="1014">
        <f>VLOOKUP($F$5,Deprivation!$B:$AE,25,FALSE)</f>
        <v>0</v>
      </c>
      <c r="G75" s="1014">
        <f>VLOOKUP($F$5,Deprivation!$B:$AE,26,FALSE)</f>
        <v>0</v>
      </c>
      <c r="H75" s="1041">
        <f t="shared" si="5"/>
        <v>0</v>
      </c>
      <c r="I75" s="1016">
        <v>0.35251785880652542</v>
      </c>
      <c r="J75" s="1017">
        <f t="shared" si="6"/>
        <v>0</v>
      </c>
      <c r="K75" s="1033"/>
      <c r="L75" s="1033"/>
      <c r="M75" s="1033"/>
    </row>
    <row r="76" spans="2:17" ht="27" customHeight="1" x14ac:dyDescent="0.2">
      <c r="B76" s="1201"/>
      <c r="C76" s="1042" t="s">
        <v>186</v>
      </c>
      <c r="D76" s="1013">
        <v>939.39538300803542</v>
      </c>
      <c r="E76" s="1013">
        <v>746.33304452582729</v>
      </c>
      <c r="F76" s="1014">
        <f>VLOOKUP($F$5,Deprivation!$B:$AE,27,FALSE)</f>
        <v>0</v>
      </c>
      <c r="G76" s="1014">
        <f>VLOOKUP($F$5,Deprivation!$B:$AE,28,FALSE)</f>
        <v>0</v>
      </c>
      <c r="H76" s="1041">
        <f t="shared" si="5"/>
        <v>0</v>
      </c>
      <c r="I76" s="1016">
        <v>0.35251785880652542</v>
      </c>
      <c r="J76" s="1017">
        <f t="shared" si="6"/>
        <v>0</v>
      </c>
      <c r="K76" s="1033"/>
      <c r="L76" s="1033"/>
      <c r="M76" s="1033"/>
    </row>
    <row r="77" spans="2:17" ht="27" customHeight="1" x14ac:dyDescent="0.2">
      <c r="B77" s="1202"/>
      <c r="C77" s="1042" t="s">
        <v>187</v>
      </c>
      <c r="D77" s="1013">
        <v>939.39538300803542</v>
      </c>
      <c r="E77" s="1013">
        <v>746.33304452582729</v>
      </c>
      <c r="F77" s="1014">
        <f>VLOOKUP($F$5,Deprivation!$B:$AE,29,FALSE)</f>
        <v>0</v>
      </c>
      <c r="G77" s="1014">
        <f>VLOOKUP($F$5,Deprivation!$B:$AE,30,FALSE)</f>
        <v>0</v>
      </c>
      <c r="H77" s="1041">
        <f t="shared" si="5"/>
        <v>0</v>
      </c>
      <c r="I77" s="1016">
        <v>0.35251785880652542</v>
      </c>
      <c r="J77" s="1017">
        <f>I77*H77</f>
        <v>0</v>
      </c>
      <c r="K77" s="1033"/>
      <c r="L77" s="1033"/>
      <c r="M77" s="1033"/>
    </row>
    <row r="78" spans="2:17" ht="16.5" thickBot="1" x14ac:dyDescent="0.3">
      <c r="B78" s="1043"/>
      <c r="C78" s="1044"/>
      <c r="D78" s="1045"/>
      <c r="E78" s="1021" t="s">
        <v>291</v>
      </c>
      <c r="F78" s="1022">
        <f>SUM(F70:F77)</f>
        <v>0</v>
      </c>
      <c r="G78" s="1022">
        <f>SUM(G70:G77)</f>
        <v>0</v>
      </c>
      <c r="H78" s="1023">
        <f>SUM(H70:H77)</f>
        <v>0</v>
      </c>
      <c r="I78" s="1046"/>
      <c r="J78" s="1047">
        <f>IF(J71+J72+J73+J74+J75+J77+J76=0,H78*I77,"0")</f>
        <v>0</v>
      </c>
      <c r="K78" s="1033"/>
      <c r="L78" s="1033"/>
      <c r="M78" s="1033"/>
    </row>
    <row r="79" spans="2:17" ht="25.5" x14ac:dyDescent="0.2">
      <c r="B79" s="940"/>
      <c r="C79" s="941"/>
      <c r="D79" s="1169" t="s">
        <v>814</v>
      </c>
      <c r="E79" s="1169"/>
      <c r="F79" s="1169"/>
      <c r="G79" s="1048" t="s">
        <v>802</v>
      </c>
      <c r="H79" s="1049" t="s">
        <v>815</v>
      </c>
      <c r="I79" s="1050"/>
      <c r="J79" s="1051" t="s">
        <v>815</v>
      </c>
      <c r="K79" s="1033"/>
      <c r="L79" s="1033"/>
      <c r="M79" s="1033"/>
    </row>
    <row r="80" spans="2:17" ht="50.1" customHeight="1" thickBot="1" x14ac:dyDescent="0.25">
      <c r="B80" s="945" t="s">
        <v>816</v>
      </c>
      <c r="C80" s="1052" t="s">
        <v>971</v>
      </c>
      <c r="D80" s="958"/>
      <c r="E80" s="1053">
        <v>1353.2166999999999</v>
      </c>
      <c r="F80" s="959"/>
      <c r="G80" s="1014">
        <f>VLOOKUP($F$5,LAC!B:D,2,FALSE)</f>
        <v>0</v>
      </c>
      <c r="H80" s="1041">
        <f>$G80*$E80</f>
        <v>0</v>
      </c>
      <c r="I80" s="1016">
        <v>0.99999997536733509</v>
      </c>
      <c r="J80" s="1017">
        <f>I80*H80</f>
        <v>0</v>
      </c>
      <c r="K80" s="1033"/>
      <c r="L80" s="1033"/>
      <c r="M80" s="1033"/>
    </row>
    <row r="81" spans="2:11" ht="25.5" x14ac:dyDescent="0.2">
      <c r="B81" s="1054"/>
      <c r="C81" s="1055"/>
      <c r="D81" s="1169" t="s">
        <v>814</v>
      </c>
      <c r="E81" s="1169"/>
      <c r="F81" s="1169"/>
      <c r="G81" s="1056" t="s">
        <v>802</v>
      </c>
      <c r="H81" s="1049" t="s">
        <v>815</v>
      </c>
      <c r="I81" s="1050"/>
      <c r="J81" s="1051" t="s">
        <v>815</v>
      </c>
    </row>
    <row r="82" spans="2:11" ht="50.1" customHeight="1" thickBot="1" x14ac:dyDescent="0.25">
      <c r="B82" s="1057" t="s">
        <v>817</v>
      </c>
      <c r="C82" s="1058" t="s">
        <v>972</v>
      </c>
      <c r="D82" s="958"/>
      <c r="E82" s="1053">
        <v>859.16</v>
      </c>
      <c r="F82" s="959"/>
      <c r="G82" s="1014">
        <f>VLOOKUP($F$5,'LCHI SEN'!B:C,2,FALSE)</f>
        <v>0</v>
      </c>
      <c r="H82" s="1041">
        <f>$G82*$E82</f>
        <v>0</v>
      </c>
      <c r="I82" s="1016">
        <v>0.352517575306113</v>
      </c>
      <c r="J82" s="1017">
        <f>I82*H82</f>
        <v>0</v>
      </c>
    </row>
    <row r="83" spans="2:11" ht="25.5" x14ac:dyDescent="0.2">
      <c r="B83" s="1054"/>
      <c r="C83" s="1055"/>
      <c r="D83" s="1169" t="s">
        <v>814</v>
      </c>
      <c r="E83" s="1169"/>
      <c r="F83" s="1169"/>
      <c r="G83" s="1056" t="s">
        <v>802</v>
      </c>
      <c r="H83" s="1049" t="s">
        <v>815</v>
      </c>
      <c r="I83" s="1050"/>
      <c r="J83" s="1051" t="s">
        <v>815</v>
      </c>
    </row>
    <row r="84" spans="2:11" ht="46.5" customHeight="1" x14ac:dyDescent="0.2">
      <c r="B84" s="1176" t="s">
        <v>818</v>
      </c>
      <c r="C84" s="1058" t="s">
        <v>819</v>
      </c>
      <c r="D84" s="958"/>
      <c r="E84" s="1053">
        <v>855.73379999999997</v>
      </c>
      <c r="F84" s="959"/>
      <c r="G84" s="1014">
        <f>VLOOKUP($F$5,EAL!B:D,2,FALSE)</f>
        <v>0</v>
      </c>
      <c r="H84" s="1041">
        <f>$G84*$E84</f>
        <v>0</v>
      </c>
      <c r="I84" s="1016">
        <v>0.40054506899453624</v>
      </c>
      <c r="J84" s="1017">
        <f>I84*H84</f>
        <v>0</v>
      </c>
    </row>
    <row r="85" spans="2:11" ht="46.5" customHeight="1" thickBot="1" x14ac:dyDescent="0.25">
      <c r="B85" s="1177"/>
      <c r="C85" s="1058" t="s">
        <v>820</v>
      </c>
      <c r="D85" s="958"/>
      <c r="E85" s="1053">
        <v>2512.7556999999997</v>
      </c>
      <c r="F85" s="959"/>
      <c r="G85" s="1014">
        <f>VLOOKUP($F$5,EAL!B:D,3,FALSE)</f>
        <v>0</v>
      </c>
      <c r="H85" s="1041">
        <f>$G85*$E85</f>
        <v>0</v>
      </c>
      <c r="I85" s="1016">
        <v>0.40054506899453624</v>
      </c>
      <c r="J85" s="1017">
        <f>I85*H85</f>
        <v>0</v>
      </c>
      <c r="K85" s="1059"/>
    </row>
    <row r="86" spans="2:11" ht="25.5" x14ac:dyDescent="0.2">
      <c r="B86" s="1054"/>
      <c r="C86" s="1055"/>
      <c r="D86" s="1169" t="s">
        <v>814</v>
      </c>
      <c r="E86" s="1169"/>
      <c r="F86" s="1169"/>
      <c r="G86" s="1060" t="s">
        <v>802</v>
      </c>
      <c r="H86" s="1049" t="s">
        <v>815</v>
      </c>
      <c r="I86" s="1050"/>
      <c r="J86" s="1051" t="s">
        <v>815</v>
      </c>
    </row>
    <row r="87" spans="2:11" ht="78" customHeight="1" x14ac:dyDescent="0.2">
      <c r="B87" s="1178" t="s">
        <v>821</v>
      </c>
      <c r="C87" s="1061" t="s">
        <v>822</v>
      </c>
      <c r="D87" s="958"/>
      <c r="E87" s="1053">
        <v>1199.68</v>
      </c>
      <c r="F87" s="1062"/>
      <c r="G87" s="1014">
        <f>VLOOKUP($F$5,Mobility!B:D,2,FALSE)</f>
        <v>0</v>
      </c>
      <c r="H87" s="1041">
        <f>$G87*$E87</f>
        <v>0</v>
      </c>
      <c r="I87" s="1016">
        <v>1</v>
      </c>
      <c r="J87" s="1017">
        <f>I87*H87</f>
        <v>0</v>
      </c>
    </row>
    <row r="88" spans="2:11" ht="78" customHeight="1" thickBot="1" x14ac:dyDescent="0.25">
      <c r="B88" s="1179"/>
      <c r="C88" s="1061" t="s">
        <v>823</v>
      </c>
      <c r="D88" s="958"/>
      <c r="E88" s="1053">
        <v>2020.6040999999998</v>
      </c>
      <c r="F88" s="1062"/>
      <c r="G88" s="1014">
        <f>VLOOKUP($F$5,Mobility!B:D,3,FALSE)</f>
        <v>0</v>
      </c>
      <c r="H88" s="1041">
        <f>$G88*$E88</f>
        <v>0</v>
      </c>
      <c r="I88" s="1016">
        <v>1</v>
      </c>
      <c r="J88" s="1017">
        <f>I88*H88</f>
        <v>0</v>
      </c>
      <c r="K88" s="1059"/>
    </row>
    <row r="89" spans="2:11" ht="12.75" customHeight="1" x14ac:dyDescent="0.2">
      <c r="B89" s="940"/>
      <c r="C89" s="941"/>
      <c r="D89" s="1169" t="s">
        <v>824</v>
      </c>
      <c r="E89" s="1169"/>
      <c r="F89" s="1169"/>
      <c r="G89" s="954" t="s">
        <v>825</v>
      </c>
      <c r="H89" s="1049" t="s">
        <v>815</v>
      </c>
      <c r="I89" s="1050"/>
      <c r="J89" s="1051"/>
    </row>
    <row r="90" spans="2:11" ht="35.1" customHeight="1" thickBot="1" x14ac:dyDescent="0.25">
      <c r="B90" s="945" t="s">
        <v>826</v>
      </c>
      <c r="C90" s="1052" t="s">
        <v>973</v>
      </c>
      <c r="D90" s="958"/>
      <c r="E90" s="1053">
        <f>VLOOKUP($F$5,'Summary for Prints - updated'!B:AC,8,FALSE)</f>
        <v>0</v>
      </c>
      <c r="F90" s="959"/>
      <c r="G90" s="950">
        <v>1</v>
      </c>
      <c r="H90" s="1063">
        <f>$G90*$E90</f>
        <v>0</v>
      </c>
      <c r="I90" s="1064"/>
      <c r="J90" s="1065"/>
    </row>
    <row r="91" spans="2:11" ht="12.75" customHeight="1" x14ac:dyDescent="0.2">
      <c r="B91" s="1054"/>
      <c r="C91" s="941"/>
      <c r="D91" s="1169" t="s">
        <v>827</v>
      </c>
      <c r="E91" s="1169"/>
      <c r="F91" s="1169"/>
      <c r="G91" s="954" t="s">
        <v>825</v>
      </c>
      <c r="H91" s="1049" t="s">
        <v>815</v>
      </c>
      <c r="I91" s="1050"/>
      <c r="J91" s="1051"/>
    </row>
    <row r="92" spans="2:11" ht="35.1" customHeight="1" thickBot="1" x14ac:dyDescent="0.3">
      <c r="B92" s="957" t="s">
        <v>828</v>
      </c>
      <c r="C92" s="1066"/>
      <c r="D92" s="958"/>
      <c r="E92" s="1053">
        <f>VLOOKUP($F$5,'Summary for Prints - updated'!B:AC,9,FALSE)</f>
        <v>0</v>
      </c>
      <c r="F92" s="959"/>
      <c r="G92" s="960">
        <v>1</v>
      </c>
      <c r="H92" s="1063">
        <f>$G92*$E92</f>
        <v>0</v>
      </c>
      <c r="I92" s="1067"/>
      <c r="J92" s="1068"/>
    </row>
    <row r="93" spans="2:11" ht="12.75" customHeight="1" x14ac:dyDescent="0.2">
      <c r="B93" s="1054"/>
      <c r="C93" s="941"/>
      <c r="D93" s="1169" t="s">
        <v>829</v>
      </c>
      <c r="E93" s="1169"/>
      <c r="F93" s="1169"/>
      <c r="G93" s="954" t="s">
        <v>825</v>
      </c>
      <c r="H93" s="1049" t="s">
        <v>815</v>
      </c>
      <c r="I93" s="1050"/>
      <c r="J93" s="1051"/>
    </row>
    <row r="94" spans="2:11" ht="35.1" customHeight="1" thickBot="1" x14ac:dyDescent="0.3">
      <c r="B94" s="957" t="s">
        <v>983</v>
      </c>
      <c r="C94" s="1069"/>
      <c r="D94" s="958"/>
      <c r="E94" s="1053">
        <f>VLOOKUP($F$5,'Summary for Prints - updated'!B:AC,11,FALSE)</f>
        <v>0</v>
      </c>
      <c r="F94" s="959"/>
      <c r="G94" s="960">
        <v>1</v>
      </c>
      <c r="H94" s="1063">
        <f>$G94*$E94</f>
        <v>0</v>
      </c>
      <c r="I94" s="1064"/>
      <c r="J94" s="1065"/>
    </row>
    <row r="95" spans="2:11" ht="12.75" customHeight="1" x14ac:dyDescent="0.2">
      <c r="B95" s="1054"/>
      <c r="C95" s="941"/>
      <c r="D95" s="1169" t="s">
        <v>830</v>
      </c>
      <c r="E95" s="1169"/>
      <c r="F95" s="1169"/>
      <c r="G95" s="954" t="s">
        <v>825</v>
      </c>
      <c r="H95" s="1049" t="s">
        <v>815</v>
      </c>
      <c r="I95" s="1050"/>
      <c r="J95" s="1051"/>
    </row>
    <row r="96" spans="2:11" ht="35.1" customHeight="1" thickBot="1" x14ac:dyDescent="0.3">
      <c r="B96" s="957" t="s">
        <v>831</v>
      </c>
      <c r="C96" s="1069"/>
      <c r="D96" s="958"/>
      <c r="E96" s="1053">
        <f>VLOOKUP($F$5,'Summary for Prints - updated'!B:AC,14,FALSE)</f>
        <v>0</v>
      </c>
      <c r="F96" s="959"/>
      <c r="G96" s="960">
        <v>1</v>
      </c>
      <c r="H96" s="1063">
        <f>$G96*$E96</f>
        <v>0</v>
      </c>
      <c r="I96" s="1064"/>
      <c r="J96" s="1207" t="s">
        <v>969</v>
      </c>
    </row>
    <row r="97" spans="2:10" ht="12.75" customHeight="1" x14ac:dyDescent="0.2">
      <c r="B97" s="1054"/>
      <c r="C97" s="941"/>
      <c r="D97" s="1169" t="s">
        <v>832</v>
      </c>
      <c r="E97" s="1169"/>
      <c r="F97" s="1169"/>
      <c r="G97" s="954" t="s">
        <v>825</v>
      </c>
      <c r="H97" s="1049" t="s">
        <v>815</v>
      </c>
      <c r="I97" s="1050"/>
      <c r="J97" s="1208"/>
    </row>
    <row r="98" spans="2:10" ht="35.1" customHeight="1" thickBot="1" x14ac:dyDescent="0.3">
      <c r="B98" s="957" t="s">
        <v>832</v>
      </c>
      <c r="C98" s="1069"/>
      <c r="D98" s="958"/>
      <c r="E98" s="1053">
        <f>VLOOKUP($F$5,'Summary for Prints - updated'!B:AC,15,FALSE)</f>
        <v>0</v>
      </c>
      <c r="F98" s="959"/>
      <c r="G98" s="960">
        <v>1</v>
      </c>
      <c r="H98" s="1063">
        <f>$G98*$E98</f>
        <v>0</v>
      </c>
      <c r="I98" s="1064"/>
      <c r="J98" s="1209"/>
    </row>
    <row r="99" spans="2:10" ht="13.5" thickBot="1" x14ac:dyDescent="0.25">
      <c r="B99" s="1070"/>
      <c r="C99" s="1071"/>
      <c r="D99" s="1071"/>
      <c r="E99" s="1071"/>
      <c r="F99" s="1071"/>
      <c r="G99" s="1071"/>
      <c r="H99" s="1072"/>
      <c r="I99" s="1008"/>
      <c r="J99" s="1073"/>
    </row>
    <row r="100" spans="2:10" ht="30" customHeight="1" thickBot="1" x14ac:dyDescent="0.3">
      <c r="B100" s="1074" t="s">
        <v>833</v>
      </c>
      <c r="C100" s="1075"/>
      <c r="D100" s="1075"/>
      <c r="E100" s="1076"/>
      <c r="F100" s="1077"/>
      <c r="G100" s="1078"/>
      <c r="H100" s="1079">
        <f>H67+H78+H80+H82+H84+H85+H87+H88+H90+H92+H94+H96+H98</f>
        <v>0</v>
      </c>
      <c r="I100" s="1080"/>
      <c r="J100" s="1081">
        <f>J64+J65+J66+J71+J72+J73+J74+J75+J76+J77+J80+J82+J84+J85+J87+J88+J78</f>
        <v>0</v>
      </c>
    </row>
    <row r="101" spans="2:10" x14ac:dyDescent="0.2">
      <c r="B101" s="849"/>
      <c r="C101" s="1082"/>
      <c r="D101" s="850"/>
      <c r="E101" s="850"/>
      <c r="F101" s="850"/>
      <c r="G101" s="850"/>
      <c r="H101" s="1083"/>
      <c r="I101" s="1084"/>
      <c r="J101" s="1085"/>
    </row>
    <row r="102" spans="2:10" ht="15.75" x14ac:dyDescent="0.25">
      <c r="B102" s="1086" t="s">
        <v>834</v>
      </c>
      <c r="C102" s="1174" t="s">
        <v>285</v>
      </c>
      <c r="D102" s="1174"/>
      <c r="E102" s="1174"/>
      <c r="F102" s="857"/>
      <c r="G102" s="857"/>
      <c r="H102" s="1087"/>
      <c r="I102" s="852"/>
      <c r="J102" s="1088"/>
    </row>
    <row r="103" spans="2:10" ht="13.5" thickBot="1" x14ac:dyDescent="0.25">
      <c r="B103" s="855"/>
      <c r="C103" s="857"/>
      <c r="D103" s="857"/>
      <c r="E103" s="857"/>
      <c r="F103" s="857"/>
      <c r="G103" s="857"/>
      <c r="H103" s="1087"/>
      <c r="I103" s="852"/>
      <c r="J103" s="1088"/>
    </row>
    <row r="104" spans="2:10" x14ac:dyDescent="0.2">
      <c r="B104" s="940"/>
      <c r="C104" s="941"/>
      <c r="D104" s="1169"/>
      <c r="E104" s="1169"/>
      <c r="F104" s="1169"/>
      <c r="G104" s="972" t="s">
        <v>825</v>
      </c>
      <c r="H104" s="1089" t="s">
        <v>815</v>
      </c>
      <c r="I104" s="1090"/>
      <c r="J104" s="1091"/>
    </row>
    <row r="105" spans="2:10" ht="27" customHeight="1" x14ac:dyDescent="0.2">
      <c r="B105" s="945" t="s">
        <v>974</v>
      </c>
      <c r="C105" s="1066"/>
      <c r="D105" s="958"/>
      <c r="E105" s="1053">
        <f>VLOOKUP($F$5,'Summary for Prints - updated'!B:AC,19,FALSE)</f>
        <v>0</v>
      </c>
      <c r="F105" s="959"/>
      <c r="G105" s="950">
        <v>1</v>
      </c>
      <c r="H105" s="1092">
        <f>$G105*$E105</f>
        <v>0</v>
      </c>
      <c r="I105" s="952"/>
      <c r="J105" s="1093"/>
    </row>
    <row r="106" spans="2:10" x14ac:dyDescent="0.2">
      <c r="B106" s="855"/>
      <c r="C106" s="857"/>
      <c r="D106" s="857"/>
      <c r="E106" s="857"/>
      <c r="F106" s="857"/>
      <c r="G106" s="857"/>
      <c r="H106" s="1087"/>
      <c r="I106" s="852"/>
      <c r="J106" s="1088"/>
    </row>
    <row r="107" spans="2:10" ht="15.75" customHeight="1" x14ac:dyDescent="0.25">
      <c r="B107" s="1086" t="s">
        <v>834</v>
      </c>
      <c r="C107" s="1174" t="s">
        <v>290</v>
      </c>
      <c r="D107" s="1174"/>
      <c r="E107" s="1174"/>
      <c r="F107" s="857"/>
      <c r="G107" s="857"/>
      <c r="H107" s="1087"/>
      <c r="I107" s="852"/>
      <c r="J107" s="1088"/>
    </row>
    <row r="108" spans="2:10" ht="15.75" customHeight="1" thickBot="1" x14ac:dyDescent="0.25">
      <c r="B108" s="855"/>
      <c r="C108" s="857"/>
      <c r="D108" s="857"/>
      <c r="E108" s="857"/>
      <c r="F108" s="857"/>
      <c r="G108" s="857"/>
      <c r="H108" s="1087"/>
      <c r="I108" s="852"/>
      <c r="J108" s="1088"/>
    </row>
    <row r="109" spans="2:10" ht="15.75" customHeight="1" x14ac:dyDescent="0.2">
      <c r="B109" s="940"/>
      <c r="C109" s="941"/>
      <c r="D109" s="1169"/>
      <c r="E109" s="1169"/>
      <c r="F109" s="1169"/>
      <c r="G109" s="954" t="s">
        <v>825</v>
      </c>
      <c r="H109" s="1049" t="s">
        <v>815</v>
      </c>
      <c r="I109" s="1090"/>
      <c r="J109" s="1091"/>
    </row>
    <row r="110" spans="2:10" ht="27" customHeight="1" x14ac:dyDescent="0.2">
      <c r="B110" s="945" t="s">
        <v>835</v>
      </c>
      <c r="C110" s="1066"/>
      <c r="D110" s="958"/>
      <c r="E110" s="1053">
        <f>VLOOKUP($F$5,'Summary for Prints - updated'!B:AC,25,FALSE)</f>
        <v>0</v>
      </c>
      <c r="F110" s="959"/>
      <c r="G110" s="950">
        <v>1</v>
      </c>
      <c r="H110" s="1092">
        <f>$G110*$E110</f>
        <v>0</v>
      </c>
      <c r="I110" s="952"/>
      <c r="J110" s="1093"/>
    </row>
    <row r="111" spans="2:10" ht="15.75" customHeight="1" x14ac:dyDescent="0.2">
      <c r="B111" s="1094"/>
      <c r="C111" s="1095"/>
      <c r="D111" s="1096"/>
      <c r="E111" s="952"/>
      <c r="F111" s="1097"/>
      <c r="G111" s="1098"/>
      <c r="H111" s="952"/>
      <c r="I111" s="952"/>
      <c r="J111" s="1093"/>
    </row>
    <row r="112" spans="2:10" ht="15.75" customHeight="1" x14ac:dyDescent="0.25">
      <c r="B112" s="1094"/>
      <c r="C112" s="1174" t="s">
        <v>891</v>
      </c>
      <c r="D112" s="1174"/>
      <c r="E112" s="1174"/>
      <c r="F112" s="1097"/>
      <c r="G112" s="1098"/>
      <c r="H112" s="952"/>
      <c r="I112" s="952"/>
      <c r="J112" s="1093"/>
    </row>
    <row r="113" spans="2:17" ht="15.75" customHeight="1" x14ac:dyDescent="0.2">
      <c r="B113" s="855"/>
      <c r="C113" s="1096"/>
      <c r="D113" s="1096"/>
      <c r="E113" s="1096"/>
      <c r="F113" s="1096"/>
      <c r="G113" s="857"/>
      <c r="H113" s="1087"/>
      <c r="I113" s="852"/>
      <c r="J113" s="1088"/>
    </row>
    <row r="114" spans="2:17" x14ac:dyDescent="0.2">
      <c r="B114" s="1099"/>
      <c r="C114" s="1100"/>
      <c r="D114" s="1169"/>
      <c r="E114" s="1169"/>
      <c r="F114" s="1169"/>
      <c r="G114" s="972" t="s">
        <v>825</v>
      </c>
      <c r="H114" s="1089" t="s">
        <v>815</v>
      </c>
      <c r="I114" s="1090"/>
      <c r="J114" s="1091"/>
    </row>
    <row r="115" spans="2:17" ht="27" customHeight="1" x14ac:dyDescent="0.2">
      <c r="B115" s="945" t="s">
        <v>979</v>
      </c>
      <c r="C115" s="1066"/>
      <c r="D115" s="958"/>
      <c r="E115" s="1053">
        <f>VLOOKUP($F$5,Rates!$B:$F,5,FALSE)</f>
        <v>0</v>
      </c>
      <c r="F115" s="959"/>
      <c r="G115" s="950">
        <v>1</v>
      </c>
      <c r="H115" s="1092">
        <f>$G115*$E115</f>
        <v>0</v>
      </c>
      <c r="I115" s="1101" t="str">
        <f>IF(F5=3546,L115,".")</f>
        <v>.</v>
      </c>
      <c r="J115" s="1102"/>
      <c r="K115" s="1103"/>
      <c r="L115" s="1104" t="s">
        <v>992</v>
      </c>
      <c r="M115" s="1104"/>
    </row>
    <row r="116" spans="2:17" ht="27" customHeight="1" x14ac:dyDescent="0.2">
      <c r="B116" s="945" t="s">
        <v>980</v>
      </c>
      <c r="C116" s="1066"/>
      <c r="D116" s="958"/>
      <c r="E116" s="1053">
        <f>VLOOKUP($F$5,Rates!$B:$F,4,FALSE)</f>
        <v>0</v>
      </c>
      <c r="F116" s="959"/>
      <c r="G116" s="950">
        <v>1</v>
      </c>
      <c r="H116" s="1092">
        <f>$G116*$E116</f>
        <v>0</v>
      </c>
      <c r="I116" s="961"/>
      <c r="J116" s="1102"/>
      <c r="K116" s="1103"/>
      <c r="L116" s="1104"/>
      <c r="M116" s="1104"/>
    </row>
    <row r="117" spans="2:17" x14ac:dyDescent="0.2">
      <c r="B117" s="1105"/>
      <c r="C117" s="1106"/>
      <c r="D117" s="1175"/>
      <c r="E117" s="1175"/>
      <c r="F117" s="1175"/>
      <c r="G117" s="997"/>
      <c r="H117" s="944"/>
      <c r="I117" s="1090"/>
      <c r="J117" s="1091"/>
    </row>
    <row r="118" spans="2:17" ht="13.5" thickBot="1" x14ac:dyDescent="0.25">
      <c r="B118" s="1105"/>
      <c r="C118" s="1106"/>
      <c r="D118" s="1090"/>
      <c r="E118" s="1090"/>
      <c r="F118" s="1090"/>
      <c r="G118" s="997"/>
      <c r="H118" s="944"/>
      <c r="I118" s="1090"/>
      <c r="J118" s="1091"/>
    </row>
    <row r="119" spans="2:17" ht="30" customHeight="1" thickBot="1" x14ac:dyDescent="0.3">
      <c r="B119" s="1170" t="s">
        <v>967</v>
      </c>
      <c r="C119" s="1171"/>
      <c r="D119" s="1171"/>
      <c r="E119" s="1171"/>
      <c r="F119" s="1171"/>
      <c r="G119" s="1171"/>
      <c r="H119" s="1107"/>
      <c r="I119" s="1203">
        <f>$H30+$H50+$H100+$H105+$H110+$H116+H115</f>
        <v>0</v>
      </c>
      <c r="J119" s="1204"/>
      <c r="K119" s="1103"/>
      <c r="L119" s="1104"/>
      <c r="M119" s="1104"/>
    </row>
    <row r="120" spans="2:17" ht="15" customHeight="1" thickBot="1" x14ac:dyDescent="0.3">
      <c r="B120" s="1108"/>
      <c r="C120" s="1109"/>
      <c r="D120" s="1109"/>
      <c r="E120" s="1109"/>
      <c r="F120" s="1110"/>
      <c r="G120" s="1110"/>
      <c r="H120" s="1111"/>
      <c r="I120" s="1111"/>
      <c r="J120" s="1112"/>
    </row>
    <row r="121" spans="2:17" ht="30" customHeight="1" thickBot="1" x14ac:dyDescent="0.3">
      <c r="B121" s="1172" t="s">
        <v>968</v>
      </c>
      <c r="C121" s="1173"/>
      <c r="D121" s="1173"/>
      <c r="E121" s="1173"/>
      <c r="F121" s="1173"/>
      <c r="G121" s="1173"/>
      <c r="H121" s="1113"/>
      <c r="I121" s="1205">
        <f>I119-H116-H115</f>
        <v>0</v>
      </c>
      <c r="J121" s="1206"/>
      <c r="K121" s="1104"/>
    </row>
    <row r="122" spans="2:17" x14ac:dyDescent="0.2">
      <c r="B122" s="855"/>
      <c r="C122" s="857"/>
      <c r="D122" s="857"/>
      <c r="E122" s="857"/>
      <c r="F122" s="857"/>
      <c r="G122" s="857"/>
      <c r="H122" s="998"/>
      <c r="I122" s="852"/>
      <c r="J122" s="1088"/>
    </row>
    <row r="123" spans="2:17" ht="15.75" x14ac:dyDescent="0.25">
      <c r="B123" s="855"/>
      <c r="C123" s="1174" t="s">
        <v>288</v>
      </c>
      <c r="D123" s="1174"/>
      <c r="E123" s="1174"/>
      <c r="F123" s="857"/>
      <c r="G123" s="857"/>
      <c r="H123" s="998"/>
      <c r="I123" s="852"/>
      <c r="J123" s="1088"/>
    </row>
    <row r="124" spans="2:17" x14ac:dyDescent="0.2">
      <c r="B124" s="855"/>
      <c r="C124" s="857"/>
      <c r="D124" s="857"/>
      <c r="E124" s="857"/>
      <c r="F124" s="857"/>
      <c r="G124" s="857"/>
      <c r="H124" s="998"/>
      <c r="I124" s="852"/>
      <c r="J124" s="1088"/>
    </row>
    <row r="125" spans="2:17" x14ac:dyDescent="0.2">
      <c r="B125" s="1114"/>
      <c r="C125" s="1100"/>
      <c r="D125" s="1169" t="s">
        <v>861</v>
      </c>
      <c r="E125" s="1169"/>
      <c r="F125" s="1169"/>
      <c r="G125" s="954" t="s">
        <v>825</v>
      </c>
      <c r="H125" s="1115" t="s">
        <v>815</v>
      </c>
      <c r="I125" s="1090"/>
      <c r="J125" s="1091"/>
    </row>
    <row r="126" spans="2:17" ht="27" customHeight="1" x14ac:dyDescent="0.2">
      <c r="B126" s="945" t="s">
        <v>1140</v>
      </c>
      <c r="C126" s="946" t="s">
        <v>890</v>
      </c>
      <c r="D126" s="958"/>
      <c r="E126" s="1053">
        <f>VLOOKUP($F$5,'Summary for Prints - updated'!B:AC,23,FALSE)</f>
        <v>0</v>
      </c>
      <c r="F126" s="959"/>
      <c r="G126" s="950">
        <v>1</v>
      </c>
      <c r="H126" s="1092">
        <f>E126*G126</f>
        <v>0</v>
      </c>
      <c r="I126" s="956"/>
      <c r="J126" s="1091"/>
    </row>
    <row r="127" spans="2:17" ht="30" customHeight="1" thickBot="1" x14ac:dyDescent="0.25">
      <c r="B127" s="1116"/>
      <c r="C127" s="1117"/>
      <c r="D127" s="1118"/>
      <c r="E127" s="1119"/>
      <c r="F127" s="1120"/>
      <c r="G127" s="1121"/>
      <c r="H127" s="1122"/>
      <c r="I127" s="1119"/>
      <c r="J127" s="1123"/>
    </row>
    <row r="128" spans="2:17" s="970" customFormat="1" x14ac:dyDescent="0.2">
      <c r="H128" s="1124"/>
      <c r="I128" s="1124"/>
      <c r="J128" s="1124"/>
      <c r="K128" s="969"/>
      <c r="L128" s="969"/>
      <c r="M128" s="969"/>
      <c r="N128" s="969"/>
      <c r="O128" s="969"/>
      <c r="P128" s="969"/>
      <c r="Q128" s="969"/>
    </row>
    <row r="129" spans="8:17" s="970" customFormat="1" x14ac:dyDescent="0.2">
      <c r="H129" s="1124"/>
      <c r="I129" s="1124"/>
      <c r="J129" s="1124"/>
      <c r="K129" s="969"/>
      <c r="L129" s="969"/>
      <c r="M129" s="969"/>
      <c r="N129" s="969"/>
      <c r="O129" s="969"/>
      <c r="P129" s="969"/>
      <c r="Q129" s="969"/>
    </row>
    <row r="130" spans="8:17" s="970" customFormat="1" x14ac:dyDescent="0.2">
      <c r="H130" s="1124"/>
      <c r="I130" s="1124"/>
      <c r="J130" s="1124"/>
      <c r="K130" s="969"/>
      <c r="L130" s="969"/>
      <c r="M130" s="969"/>
      <c r="N130" s="969"/>
      <c r="O130" s="969"/>
      <c r="P130" s="969"/>
      <c r="Q130" s="969"/>
    </row>
    <row r="131" spans="8:17" s="970" customFormat="1" x14ac:dyDescent="0.2">
      <c r="H131" s="1124"/>
      <c r="I131" s="1124"/>
      <c r="J131" s="1124"/>
      <c r="K131" s="969"/>
      <c r="L131" s="969"/>
      <c r="M131" s="969"/>
      <c r="N131" s="969"/>
      <c r="O131" s="969"/>
      <c r="P131" s="969"/>
      <c r="Q131" s="969"/>
    </row>
    <row r="132" spans="8:17" s="970" customFormat="1" x14ac:dyDescent="0.2">
      <c r="H132" s="1124"/>
      <c r="I132" s="1124"/>
      <c r="J132" s="1124"/>
      <c r="K132" s="969"/>
      <c r="L132" s="969"/>
      <c r="M132" s="969"/>
      <c r="N132" s="969"/>
      <c r="O132" s="969"/>
      <c r="P132" s="969"/>
      <c r="Q132" s="969"/>
    </row>
    <row r="133" spans="8:17" s="970" customFormat="1" x14ac:dyDescent="0.2">
      <c r="H133" s="1124"/>
      <c r="I133" s="1124"/>
      <c r="J133" s="1124"/>
      <c r="K133" s="969"/>
      <c r="L133" s="969"/>
      <c r="M133" s="969"/>
      <c r="N133" s="969"/>
      <c r="O133" s="969"/>
      <c r="P133" s="969"/>
      <c r="Q133" s="969"/>
    </row>
    <row r="134" spans="8:17" s="970" customFormat="1" x14ac:dyDescent="0.2">
      <c r="H134" s="1124"/>
      <c r="I134" s="1124"/>
      <c r="J134" s="1124"/>
      <c r="K134" s="969"/>
      <c r="L134" s="969"/>
      <c r="M134" s="969"/>
      <c r="N134" s="969"/>
      <c r="O134" s="969"/>
      <c r="P134" s="969"/>
      <c r="Q134" s="969"/>
    </row>
    <row r="135" spans="8:17" s="970" customFormat="1" x14ac:dyDescent="0.2">
      <c r="H135" s="1124"/>
      <c r="I135" s="1124"/>
      <c r="J135" s="1124"/>
      <c r="K135" s="969"/>
      <c r="L135" s="969"/>
      <c r="M135" s="969"/>
      <c r="N135" s="969"/>
      <c r="O135" s="969"/>
      <c r="P135" s="969"/>
      <c r="Q135" s="969"/>
    </row>
    <row r="136" spans="8:17" s="970" customFormat="1" x14ac:dyDescent="0.2">
      <c r="H136" s="1124"/>
      <c r="I136" s="1124"/>
      <c r="J136" s="1124"/>
      <c r="K136" s="969"/>
      <c r="L136" s="969"/>
      <c r="M136" s="969"/>
      <c r="N136" s="969"/>
      <c r="O136" s="969"/>
      <c r="P136" s="969"/>
      <c r="Q136" s="969"/>
    </row>
    <row r="137" spans="8:17" s="970" customFormat="1" x14ac:dyDescent="0.2">
      <c r="H137" s="1124"/>
      <c r="I137" s="1124"/>
      <c r="J137" s="1124"/>
      <c r="K137" s="969"/>
      <c r="L137" s="969"/>
      <c r="M137" s="969"/>
      <c r="N137" s="969"/>
      <c r="O137" s="969"/>
      <c r="P137" s="969"/>
      <c r="Q137" s="969"/>
    </row>
    <row r="138" spans="8:17" s="970" customFormat="1" x14ac:dyDescent="0.2">
      <c r="H138" s="1124"/>
      <c r="I138" s="1124"/>
      <c r="J138" s="1124"/>
      <c r="K138" s="969"/>
      <c r="L138" s="969"/>
      <c r="M138" s="969"/>
      <c r="N138" s="969"/>
      <c r="O138" s="969"/>
      <c r="P138" s="969"/>
      <c r="Q138" s="969"/>
    </row>
    <row r="139" spans="8:17" s="970" customFormat="1" x14ac:dyDescent="0.2">
      <c r="H139" s="1124"/>
      <c r="I139" s="1124"/>
      <c r="J139" s="1124"/>
      <c r="K139" s="969"/>
      <c r="L139" s="969"/>
      <c r="M139" s="969"/>
      <c r="N139" s="969"/>
      <c r="O139" s="969"/>
      <c r="P139" s="969"/>
      <c r="Q139" s="969"/>
    </row>
    <row r="140" spans="8:17" s="970" customFormat="1" x14ac:dyDescent="0.2">
      <c r="H140" s="1124"/>
      <c r="I140" s="1124"/>
      <c r="J140" s="1124"/>
      <c r="K140" s="969"/>
      <c r="L140" s="969"/>
      <c r="M140" s="969"/>
      <c r="N140" s="969"/>
      <c r="O140" s="969"/>
      <c r="P140" s="969"/>
      <c r="Q140" s="969"/>
    </row>
    <row r="141" spans="8:17" s="970" customFormat="1" x14ac:dyDescent="0.2">
      <c r="H141" s="1124"/>
      <c r="I141" s="1124"/>
      <c r="J141" s="1124"/>
      <c r="K141" s="969"/>
      <c r="L141" s="969"/>
      <c r="M141" s="969"/>
      <c r="N141" s="969"/>
      <c r="O141" s="969"/>
      <c r="P141" s="969"/>
      <c r="Q141" s="969"/>
    </row>
    <row r="142" spans="8:17" s="970" customFormat="1" x14ac:dyDescent="0.2">
      <c r="H142" s="1124"/>
      <c r="I142" s="1124"/>
      <c r="J142" s="1124"/>
      <c r="K142" s="969"/>
      <c r="L142" s="969"/>
      <c r="M142" s="969"/>
      <c r="N142" s="969"/>
      <c r="O142" s="969"/>
      <c r="P142" s="969"/>
      <c r="Q142" s="969"/>
    </row>
    <row r="143" spans="8:17" s="970" customFormat="1" x14ac:dyDescent="0.2">
      <c r="H143" s="1124"/>
      <c r="I143" s="1124"/>
      <c r="J143" s="1124"/>
      <c r="K143" s="969"/>
      <c r="L143" s="969"/>
      <c r="M143" s="969"/>
      <c r="N143" s="969"/>
      <c r="O143" s="969"/>
      <c r="P143" s="969"/>
      <c r="Q143" s="969"/>
    </row>
    <row r="144" spans="8:17" s="970" customFormat="1" x14ac:dyDescent="0.2">
      <c r="H144" s="1124"/>
      <c r="I144" s="1124"/>
      <c r="J144" s="1124"/>
      <c r="K144" s="969"/>
      <c r="L144" s="969"/>
      <c r="M144" s="969"/>
      <c r="N144" s="969"/>
      <c r="O144" s="969"/>
      <c r="P144" s="969"/>
      <c r="Q144" s="969"/>
    </row>
    <row r="145" spans="8:17" s="970" customFormat="1" x14ac:dyDescent="0.2">
      <c r="H145" s="1124"/>
      <c r="I145" s="1124"/>
      <c r="J145" s="1124"/>
      <c r="K145" s="969"/>
      <c r="L145" s="969"/>
      <c r="M145" s="969"/>
      <c r="N145" s="969"/>
      <c r="O145" s="969"/>
      <c r="P145" s="969"/>
      <c r="Q145" s="969"/>
    </row>
    <row r="146" spans="8:17" s="970" customFormat="1" x14ac:dyDescent="0.2">
      <c r="H146" s="1124"/>
      <c r="I146" s="1124"/>
      <c r="J146" s="1124"/>
      <c r="K146" s="969"/>
      <c r="L146" s="969"/>
      <c r="M146" s="969"/>
      <c r="N146" s="969"/>
      <c r="O146" s="969"/>
      <c r="P146" s="969"/>
      <c r="Q146" s="969"/>
    </row>
    <row r="147" spans="8:17" s="970" customFormat="1" x14ac:dyDescent="0.2">
      <c r="H147" s="1124"/>
      <c r="I147" s="1124"/>
      <c r="J147" s="1124"/>
      <c r="K147" s="969"/>
      <c r="L147" s="969"/>
      <c r="M147" s="969"/>
      <c r="N147" s="969"/>
      <c r="O147" s="969"/>
      <c r="P147" s="969"/>
      <c r="Q147" s="969"/>
    </row>
    <row r="148" spans="8:17" s="970" customFormat="1" x14ac:dyDescent="0.2">
      <c r="H148" s="1124"/>
      <c r="I148" s="1124"/>
      <c r="J148" s="1124"/>
      <c r="K148" s="969"/>
      <c r="L148" s="969"/>
      <c r="M148" s="969"/>
      <c r="N148" s="969"/>
      <c r="O148" s="969"/>
      <c r="P148" s="969"/>
      <c r="Q148" s="969"/>
    </row>
    <row r="149" spans="8:17" s="970" customFormat="1" x14ac:dyDescent="0.2">
      <c r="H149" s="1124"/>
      <c r="I149" s="1124"/>
      <c r="J149" s="1124"/>
      <c r="K149" s="969"/>
      <c r="L149" s="969"/>
      <c r="M149" s="969"/>
      <c r="N149" s="969"/>
      <c r="O149" s="969"/>
      <c r="P149" s="969"/>
      <c r="Q149" s="969"/>
    </row>
    <row r="150" spans="8:17" s="970" customFormat="1" x14ac:dyDescent="0.2">
      <c r="H150" s="1124"/>
      <c r="I150" s="1124"/>
      <c r="J150" s="1124"/>
      <c r="K150" s="969"/>
      <c r="L150" s="969"/>
      <c r="M150" s="969"/>
      <c r="N150" s="969"/>
      <c r="O150" s="969"/>
      <c r="P150" s="969"/>
      <c r="Q150" s="969"/>
    </row>
    <row r="151" spans="8:17" s="970" customFormat="1" x14ac:dyDescent="0.2">
      <c r="H151" s="1124"/>
      <c r="I151" s="1124"/>
      <c r="J151" s="1124"/>
      <c r="K151" s="969"/>
      <c r="L151" s="969"/>
      <c r="M151" s="969"/>
      <c r="N151" s="969"/>
      <c r="O151" s="969"/>
      <c r="P151" s="969"/>
      <c r="Q151" s="969"/>
    </row>
    <row r="152" spans="8:17" s="970" customFormat="1" x14ac:dyDescent="0.2">
      <c r="H152" s="1124"/>
      <c r="I152" s="1124"/>
      <c r="J152" s="1124"/>
      <c r="K152" s="969"/>
      <c r="L152" s="969"/>
      <c r="M152" s="969"/>
      <c r="N152" s="969"/>
      <c r="O152" s="969"/>
      <c r="P152" s="969"/>
      <c r="Q152" s="969"/>
    </row>
    <row r="153" spans="8:17" s="970" customFormat="1" x14ac:dyDescent="0.2">
      <c r="H153" s="1124"/>
      <c r="I153" s="1124"/>
      <c r="J153" s="1124"/>
      <c r="K153" s="969"/>
      <c r="L153" s="969"/>
      <c r="M153" s="969"/>
      <c r="N153" s="969"/>
      <c r="O153" s="969"/>
      <c r="P153" s="969"/>
      <c r="Q153" s="969"/>
    </row>
    <row r="154" spans="8:17" s="970" customFormat="1" x14ac:dyDescent="0.2">
      <c r="H154" s="1124"/>
      <c r="I154" s="1124"/>
      <c r="J154" s="1124"/>
      <c r="K154" s="969"/>
      <c r="L154" s="969"/>
      <c r="M154" s="969"/>
      <c r="N154" s="969"/>
      <c r="O154" s="969"/>
      <c r="P154" s="969"/>
      <c r="Q154" s="969"/>
    </row>
    <row r="155" spans="8:17" s="970" customFormat="1" x14ac:dyDescent="0.2">
      <c r="H155" s="1124"/>
      <c r="I155" s="1124"/>
      <c r="J155" s="1124"/>
      <c r="K155" s="969"/>
      <c r="L155" s="969"/>
      <c r="M155" s="969"/>
      <c r="N155" s="969"/>
      <c r="O155" s="969"/>
      <c r="P155" s="969"/>
      <c r="Q155" s="969"/>
    </row>
    <row r="156" spans="8:17" s="970" customFormat="1" x14ac:dyDescent="0.2">
      <c r="H156" s="1124"/>
      <c r="I156" s="1124"/>
      <c r="J156" s="1124"/>
      <c r="K156" s="969"/>
      <c r="L156" s="969"/>
      <c r="M156" s="969"/>
      <c r="N156" s="969"/>
      <c r="O156" s="969"/>
      <c r="P156" s="969"/>
      <c r="Q156" s="969"/>
    </row>
    <row r="157" spans="8:17" s="970" customFormat="1" x14ac:dyDescent="0.2">
      <c r="H157" s="1124"/>
      <c r="I157" s="1124"/>
      <c r="J157" s="1124"/>
      <c r="K157" s="969"/>
      <c r="L157" s="969"/>
      <c r="M157" s="969"/>
      <c r="N157" s="969"/>
      <c r="O157" s="969"/>
      <c r="P157" s="969"/>
      <c r="Q157" s="969"/>
    </row>
    <row r="158" spans="8:17" s="970" customFormat="1" x14ac:dyDescent="0.2">
      <c r="H158" s="1124"/>
      <c r="I158" s="1124"/>
      <c r="J158" s="1124"/>
      <c r="K158" s="969"/>
      <c r="L158" s="969"/>
      <c r="M158" s="969"/>
      <c r="N158" s="969"/>
      <c r="O158" s="969"/>
      <c r="P158" s="969"/>
      <c r="Q158" s="969"/>
    </row>
    <row r="159" spans="8:17" s="970" customFormat="1" x14ac:dyDescent="0.2">
      <c r="H159" s="1124"/>
      <c r="I159" s="1124"/>
      <c r="J159" s="1124"/>
      <c r="K159" s="969"/>
      <c r="L159" s="969"/>
      <c r="M159" s="969"/>
      <c r="N159" s="969"/>
      <c r="O159" s="969"/>
      <c r="P159" s="969"/>
      <c r="Q159" s="969"/>
    </row>
    <row r="160" spans="8:17" s="970" customFormat="1" x14ac:dyDescent="0.2">
      <c r="H160" s="1124"/>
      <c r="I160" s="1124"/>
      <c r="J160" s="1124"/>
      <c r="K160" s="969"/>
      <c r="L160" s="969"/>
      <c r="M160" s="969"/>
      <c r="N160" s="969"/>
      <c r="O160" s="969"/>
      <c r="P160" s="969"/>
      <c r="Q160" s="969"/>
    </row>
    <row r="161" spans="8:17" s="970" customFormat="1" x14ac:dyDescent="0.2">
      <c r="H161" s="1124"/>
      <c r="I161" s="1124"/>
      <c r="J161" s="1124"/>
      <c r="K161" s="969"/>
      <c r="L161" s="969"/>
      <c r="M161" s="969"/>
      <c r="N161" s="969"/>
      <c r="O161" s="969"/>
      <c r="P161" s="969"/>
      <c r="Q161" s="969"/>
    </row>
    <row r="162" spans="8:17" s="970" customFormat="1" x14ac:dyDescent="0.2">
      <c r="H162" s="1124"/>
      <c r="I162" s="1124"/>
      <c r="J162" s="1124"/>
      <c r="K162" s="969"/>
      <c r="L162" s="969"/>
      <c r="M162" s="969"/>
      <c r="N162" s="969"/>
      <c r="O162" s="969"/>
      <c r="P162" s="969"/>
      <c r="Q162" s="969"/>
    </row>
    <row r="163" spans="8:17" s="970" customFormat="1" x14ac:dyDescent="0.2">
      <c r="H163" s="1124"/>
      <c r="I163" s="1124"/>
      <c r="J163" s="1124"/>
      <c r="K163" s="969"/>
      <c r="L163" s="969"/>
      <c r="M163" s="969"/>
      <c r="N163" s="969"/>
      <c r="O163" s="969"/>
      <c r="P163" s="969"/>
      <c r="Q163" s="969"/>
    </row>
    <row r="164" spans="8:17" s="970" customFormat="1" x14ac:dyDescent="0.2">
      <c r="H164" s="1124"/>
      <c r="I164" s="1124"/>
      <c r="J164" s="1124"/>
      <c r="K164" s="969"/>
      <c r="L164" s="969"/>
      <c r="M164" s="969"/>
      <c r="N164" s="969"/>
      <c r="O164" s="969"/>
      <c r="P164" s="969"/>
      <c r="Q164" s="969"/>
    </row>
    <row r="165" spans="8:17" s="970" customFormat="1" x14ac:dyDescent="0.2">
      <c r="H165" s="1124"/>
      <c r="I165" s="1124"/>
      <c r="J165" s="1124"/>
      <c r="K165" s="969"/>
      <c r="L165" s="969"/>
      <c r="M165" s="969"/>
      <c r="N165" s="969"/>
      <c r="O165" s="969"/>
      <c r="P165" s="969"/>
      <c r="Q165" s="969"/>
    </row>
    <row r="166" spans="8:17" s="970" customFormat="1" x14ac:dyDescent="0.2">
      <c r="H166" s="1124"/>
      <c r="I166" s="1124"/>
      <c r="J166" s="1124"/>
      <c r="K166" s="969"/>
      <c r="L166" s="969"/>
      <c r="M166" s="969"/>
      <c r="N166" s="969"/>
      <c r="O166" s="969"/>
      <c r="P166" s="969"/>
      <c r="Q166" s="969"/>
    </row>
    <row r="167" spans="8:17" s="970" customFormat="1" x14ac:dyDescent="0.2">
      <c r="H167" s="1124"/>
      <c r="I167" s="1124"/>
      <c r="J167" s="1124"/>
      <c r="K167" s="969"/>
      <c r="L167" s="969"/>
      <c r="M167" s="969"/>
      <c r="N167" s="969"/>
      <c r="O167" s="969"/>
      <c r="P167" s="969"/>
      <c r="Q167" s="969"/>
    </row>
    <row r="168" spans="8:17" s="970" customFormat="1" x14ac:dyDescent="0.2">
      <c r="H168" s="1124"/>
      <c r="I168" s="1124"/>
      <c r="J168" s="1124"/>
      <c r="K168" s="969"/>
      <c r="L168" s="969"/>
      <c r="M168" s="969"/>
      <c r="N168" s="969"/>
      <c r="O168" s="969"/>
      <c r="P168" s="969"/>
      <c r="Q168" s="969"/>
    </row>
    <row r="169" spans="8:17" s="970" customFormat="1" x14ac:dyDescent="0.2">
      <c r="H169" s="1124"/>
      <c r="I169" s="1124"/>
      <c r="J169" s="1124"/>
      <c r="K169" s="969"/>
      <c r="L169" s="969"/>
      <c r="M169" s="969"/>
      <c r="N169" s="969"/>
      <c r="O169" s="969"/>
      <c r="P169" s="969"/>
      <c r="Q169" s="969"/>
    </row>
    <row r="170" spans="8:17" s="970" customFormat="1" x14ac:dyDescent="0.2">
      <c r="H170" s="1124"/>
      <c r="I170" s="1124"/>
      <c r="J170" s="1124"/>
      <c r="K170" s="969"/>
      <c r="L170" s="969"/>
      <c r="M170" s="969"/>
      <c r="N170" s="969"/>
      <c r="O170" s="969"/>
      <c r="P170" s="969"/>
      <c r="Q170" s="969"/>
    </row>
    <row r="171" spans="8:17" s="970" customFormat="1" x14ac:dyDescent="0.2">
      <c r="H171" s="1124"/>
      <c r="I171" s="1124"/>
      <c r="J171" s="1124"/>
      <c r="K171" s="969"/>
      <c r="L171" s="969"/>
      <c r="M171" s="969"/>
      <c r="N171" s="969"/>
      <c r="O171" s="969"/>
      <c r="P171" s="969"/>
      <c r="Q171" s="969"/>
    </row>
    <row r="172" spans="8:17" s="970" customFormat="1" x14ac:dyDescent="0.2">
      <c r="H172" s="1124"/>
      <c r="I172" s="1124"/>
      <c r="J172" s="1124"/>
      <c r="K172" s="969"/>
      <c r="L172" s="969"/>
      <c r="M172" s="969"/>
      <c r="N172" s="969"/>
      <c r="O172" s="969"/>
      <c r="P172" s="969"/>
      <c r="Q172" s="969"/>
    </row>
    <row r="173" spans="8:17" s="970" customFormat="1" x14ac:dyDescent="0.2">
      <c r="H173" s="1124"/>
      <c r="I173" s="1124"/>
      <c r="J173" s="1124"/>
      <c r="K173" s="969"/>
      <c r="L173" s="969"/>
      <c r="M173" s="969"/>
      <c r="N173" s="969"/>
      <c r="O173" s="969"/>
      <c r="P173" s="969"/>
      <c r="Q173" s="969"/>
    </row>
    <row r="174" spans="8:17" s="970" customFormat="1" x14ac:dyDescent="0.2">
      <c r="H174" s="1124"/>
      <c r="I174" s="1124"/>
      <c r="J174" s="1124"/>
      <c r="K174" s="969"/>
      <c r="L174" s="969"/>
      <c r="M174" s="969"/>
      <c r="N174" s="969"/>
      <c r="O174" s="969"/>
      <c r="P174" s="969"/>
      <c r="Q174" s="969"/>
    </row>
    <row r="175" spans="8:17" s="970" customFormat="1" x14ac:dyDescent="0.2">
      <c r="H175" s="1124"/>
      <c r="I175" s="1124"/>
      <c r="J175" s="1124"/>
      <c r="K175" s="969"/>
      <c r="L175" s="969"/>
      <c r="M175" s="969"/>
      <c r="N175" s="969"/>
      <c r="O175" s="969"/>
      <c r="P175" s="969"/>
      <c r="Q175" s="969"/>
    </row>
    <row r="176" spans="8:17" s="970" customFormat="1" x14ac:dyDescent="0.2">
      <c r="H176" s="1124"/>
      <c r="I176" s="1124"/>
      <c r="J176" s="1124"/>
      <c r="K176" s="969"/>
      <c r="L176" s="969"/>
      <c r="M176" s="969"/>
      <c r="N176" s="969"/>
      <c r="O176" s="969"/>
      <c r="P176" s="969"/>
      <c r="Q176" s="969"/>
    </row>
    <row r="177" spans="8:17" s="970" customFormat="1" x14ac:dyDescent="0.2">
      <c r="H177" s="1124"/>
      <c r="I177" s="1124"/>
      <c r="J177" s="1124"/>
      <c r="K177" s="969"/>
      <c r="L177" s="969"/>
      <c r="M177" s="969"/>
      <c r="N177" s="969"/>
      <c r="O177" s="969"/>
      <c r="P177" s="969"/>
      <c r="Q177" s="969"/>
    </row>
    <row r="178" spans="8:17" s="970" customFormat="1" x14ac:dyDescent="0.2">
      <c r="H178" s="1124"/>
      <c r="I178" s="1124"/>
      <c r="J178" s="1124"/>
      <c r="K178" s="969"/>
      <c r="L178" s="969"/>
      <c r="M178" s="969"/>
      <c r="N178" s="969"/>
      <c r="O178" s="969"/>
      <c r="P178" s="969"/>
      <c r="Q178" s="969"/>
    </row>
    <row r="179" spans="8:17" s="970" customFormat="1" x14ac:dyDescent="0.2">
      <c r="H179" s="1124"/>
      <c r="I179" s="1124"/>
      <c r="J179" s="1124"/>
      <c r="K179" s="969"/>
      <c r="L179" s="969"/>
      <c r="M179" s="969"/>
      <c r="N179" s="969"/>
      <c r="O179" s="969"/>
      <c r="P179" s="969"/>
      <c r="Q179" s="969"/>
    </row>
    <row r="180" spans="8:17" s="970" customFormat="1" x14ac:dyDescent="0.2">
      <c r="H180" s="1124"/>
      <c r="I180" s="1124"/>
      <c r="J180" s="1124"/>
      <c r="K180" s="969"/>
      <c r="L180" s="969"/>
      <c r="M180" s="969"/>
      <c r="N180" s="969"/>
      <c r="O180" s="969"/>
      <c r="P180" s="969"/>
      <c r="Q180" s="969"/>
    </row>
    <row r="181" spans="8:17" s="970" customFormat="1" x14ac:dyDescent="0.2">
      <c r="H181" s="1124"/>
      <c r="I181" s="1124"/>
      <c r="J181" s="1124"/>
      <c r="K181" s="969"/>
      <c r="L181" s="969"/>
      <c r="M181" s="969"/>
      <c r="N181" s="969"/>
      <c r="O181" s="969"/>
      <c r="P181" s="969"/>
      <c r="Q181" s="969"/>
    </row>
    <row r="182" spans="8:17" s="970" customFormat="1" x14ac:dyDescent="0.2">
      <c r="H182" s="1124"/>
      <c r="I182" s="1124"/>
      <c r="J182" s="1124"/>
      <c r="K182" s="969"/>
      <c r="L182" s="969"/>
      <c r="M182" s="969"/>
      <c r="N182" s="969"/>
      <c r="O182" s="969"/>
      <c r="P182" s="969"/>
      <c r="Q182" s="969"/>
    </row>
    <row r="183" spans="8:17" s="970" customFormat="1" x14ac:dyDescent="0.2">
      <c r="H183" s="1124"/>
      <c r="I183" s="1124"/>
      <c r="J183" s="1124"/>
      <c r="K183" s="969"/>
      <c r="L183" s="969"/>
      <c r="M183" s="969"/>
      <c r="N183" s="969"/>
      <c r="O183" s="969"/>
      <c r="P183" s="969"/>
      <c r="Q183" s="969"/>
    </row>
    <row r="184" spans="8:17" s="970" customFormat="1" x14ac:dyDescent="0.2">
      <c r="H184" s="1124"/>
      <c r="I184" s="1124"/>
      <c r="J184" s="1124"/>
      <c r="K184" s="969"/>
      <c r="L184" s="969"/>
      <c r="M184" s="969"/>
      <c r="N184" s="969"/>
      <c r="O184" s="969"/>
      <c r="P184" s="969"/>
      <c r="Q184" s="969"/>
    </row>
    <row r="185" spans="8:17" s="970" customFormat="1" x14ac:dyDescent="0.2">
      <c r="H185" s="1124"/>
      <c r="I185" s="1124"/>
      <c r="J185" s="1124"/>
      <c r="K185" s="969"/>
      <c r="L185" s="969"/>
      <c r="M185" s="969"/>
      <c r="N185" s="969"/>
      <c r="O185" s="969"/>
      <c r="P185" s="969"/>
      <c r="Q185" s="969"/>
    </row>
    <row r="186" spans="8:17" s="970" customFormat="1" x14ac:dyDescent="0.2">
      <c r="H186" s="1124"/>
      <c r="I186" s="1124"/>
      <c r="J186" s="1124"/>
      <c r="K186" s="969"/>
      <c r="L186" s="969"/>
      <c r="M186" s="969"/>
      <c r="N186" s="969"/>
      <c r="O186" s="969"/>
      <c r="P186" s="969"/>
      <c r="Q186" s="969"/>
    </row>
    <row r="187" spans="8:17" s="970" customFormat="1" x14ac:dyDescent="0.2">
      <c r="H187" s="1124"/>
      <c r="I187" s="1124"/>
      <c r="J187" s="1124"/>
      <c r="K187" s="969"/>
      <c r="L187" s="969"/>
      <c r="M187" s="969"/>
      <c r="N187" s="969"/>
      <c r="O187" s="969"/>
      <c r="P187" s="969"/>
      <c r="Q187" s="969"/>
    </row>
    <row r="188" spans="8:17" s="970" customFormat="1" x14ac:dyDescent="0.2">
      <c r="H188" s="1124"/>
      <c r="I188" s="1124"/>
      <c r="J188" s="1124"/>
      <c r="K188" s="969"/>
      <c r="L188" s="969"/>
      <c r="M188" s="969"/>
      <c r="N188" s="969"/>
      <c r="O188" s="969"/>
      <c r="P188" s="969"/>
      <c r="Q188" s="969"/>
    </row>
    <row r="189" spans="8:17" s="970" customFormat="1" x14ac:dyDescent="0.2">
      <c r="H189" s="1124"/>
      <c r="I189" s="1124"/>
      <c r="J189" s="1124"/>
      <c r="K189" s="969"/>
      <c r="L189" s="969"/>
      <c r="M189" s="969"/>
      <c r="N189" s="969"/>
      <c r="O189" s="969"/>
      <c r="P189" s="969"/>
      <c r="Q189" s="969"/>
    </row>
    <row r="190" spans="8:17" s="970" customFormat="1" x14ac:dyDescent="0.2">
      <c r="H190" s="1124"/>
      <c r="I190" s="1124"/>
      <c r="J190" s="1124"/>
      <c r="K190" s="969"/>
      <c r="L190" s="969"/>
      <c r="M190" s="969"/>
      <c r="N190" s="969"/>
      <c r="O190" s="969"/>
      <c r="P190" s="969"/>
      <c r="Q190" s="969"/>
    </row>
    <row r="191" spans="8:17" s="970" customFormat="1" x14ac:dyDescent="0.2">
      <c r="H191" s="1124"/>
      <c r="I191" s="1124"/>
      <c r="J191" s="1124"/>
      <c r="K191" s="969"/>
      <c r="L191" s="969"/>
      <c r="M191" s="969"/>
      <c r="N191" s="969"/>
      <c r="O191" s="969"/>
      <c r="P191" s="969"/>
      <c r="Q191" s="969"/>
    </row>
    <row r="192" spans="8:17" s="970" customFormat="1" x14ac:dyDescent="0.2">
      <c r="H192" s="1124"/>
      <c r="I192" s="1124"/>
      <c r="J192" s="1124"/>
      <c r="K192" s="969"/>
      <c r="L192" s="969"/>
      <c r="M192" s="969"/>
      <c r="N192" s="969"/>
      <c r="O192" s="969"/>
      <c r="P192" s="969"/>
      <c r="Q192" s="969"/>
    </row>
    <row r="193" spans="8:17" s="970" customFormat="1" x14ac:dyDescent="0.2">
      <c r="H193" s="1124"/>
      <c r="I193" s="1124"/>
      <c r="J193" s="1124"/>
      <c r="K193" s="969"/>
      <c r="L193" s="969"/>
      <c r="M193" s="969"/>
      <c r="N193" s="969"/>
      <c r="O193" s="969"/>
      <c r="P193" s="969"/>
      <c r="Q193" s="969"/>
    </row>
    <row r="194" spans="8:17" s="970" customFormat="1" x14ac:dyDescent="0.2">
      <c r="H194" s="1124"/>
      <c r="I194" s="1124"/>
      <c r="J194" s="1124"/>
      <c r="K194" s="969"/>
      <c r="L194" s="969"/>
      <c r="M194" s="969"/>
      <c r="N194" s="969"/>
      <c r="O194" s="969"/>
      <c r="P194" s="969"/>
      <c r="Q194" s="969"/>
    </row>
    <row r="195" spans="8:17" s="970" customFormat="1" x14ac:dyDescent="0.2">
      <c r="H195" s="1124"/>
      <c r="I195" s="1124"/>
      <c r="J195" s="1124"/>
      <c r="K195" s="969"/>
      <c r="L195" s="969"/>
      <c r="M195" s="969"/>
      <c r="N195" s="969"/>
      <c r="O195" s="969"/>
      <c r="P195" s="969"/>
      <c r="Q195" s="969"/>
    </row>
    <row r="196" spans="8:17" s="970" customFormat="1" x14ac:dyDescent="0.2">
      <c r="H196" s="1124"/>
      <c r="I196" s="1124"/>
      <c r="J196" s="1124"/>
      <c r="K196" s="969"/>
      <c r="L196" s="969"/>
      <c r="M196" s="969"/>
      <c r="N196" s="969"/>
      <c r="O196" s="969"/>
      <c r="P196" s="969"/>
      <c r="Q196" s="969"/>
    </row>
    <row r="197" spans="8:17" s="970" customFormat="1" x14ac:dyDescent="0.2">
      <c r="H197" s="1124"/>
      <c r="I197" s="1124"/>
      <c r="J197" s="1124"/>
      <c r="K197" s="969"/>
      <c r="L197" s="969"/>
      <c r="M197" s="969"/>
      <c r="N197" s="969"/>
      <c r="O197" s="969"/>
      <c r="P197" s="969"/>
      <c r="Q197" s="969"/>
    </row>
    <row r="198" spans="8:17" s="970" customFormat="1" x14ac:dyDescent="0.2">
      <c r="H198" s="1124"/>
      <c r="I198" s="1124"/>
      <c r="J198" s="1124"/>
      <c r="K198" s="969"/>
      <c r="L198" s="969"/>
      <c r="M198" s="969"/>
      <c r="N198" s="969"/>
      <c r="O198" s="969"/>
      <c r="P198" s="969"/>
      <c r="Q198" s="969"/>
    </row>
    <row r="199" spans="8:17" s="970" customFormat="1" x14ac:dyDescent="0.2">
      <c r="H199" s="1124"/>
      <c r="I199" s="1124"/>
      <c r="J199" s="1124"/>
      <c r="K199" s="969"/>
      <c r="L199" s="969"/>
      <c r="M199" s="969"/>
      <c r="N199" s="969"/>
      <c r="O199" s="969"/>
      <c r="P199" s="969"/>
      <c r="Q199" s="969"/>
    </row>
    <row r="200" spans="8:17" s="970" customFormat="1" x14ac:dyDescent="0.2">
      <c r="H200" s="1124"/>
      <c r="I200" s="1124"/>
      <c r="J200" s="1124"/>
      <c r="K200" s="969"/>
      <c r="L200" s="969"/>
      <c r="M200" s="969"/>
      <c r="N200" s="969"/>
      <c r="O200" s="969"/>
      <c r="P200" s="969"/>
      <c r="Q200" s="969"/>
    </row>
    <row r="201" spans="8:17" s="970" customFormat="1" x14ac:dyDescent="0.2">
      <c r="H201" s="1124"/>
      <c r="I201" s="1124"/>
      <c r="J201" s="1124"/>
      <c r="K201" s="969"/>
      <c r="L201" s="969"/>
      <c r="M201" s="969"/>
      <c r="N201" s="969"/>
      <c r="O201" s="969"/>
      <c r="P201" s="969"/>
      <c r="Q201" s="969"/>
    </row>
    <row r="202" spans="8:17" s="970" customFormat="1" x14ac:dyDescent="0.2">
      <c r="H202" s="1124"/>
      <c r="I202" s="1124"/>
      <c r="J202" s="1124"/>
      <c r="K202" s="969"/>
      <c r="L202" s="969"/>
      <c r="M202" s="969"/>
      <c r="N202" s="969"/>
      <c r="O202" s="969"/>
      <c r="P202" s="969"/>
      <c r="Q202" s="969"/>
    </row>
    <row r="203" spans="8:17" s="970" customFormat="1" x14ac:dyDescent="0.2">
      <c r="H203" s="1124"/>
      <c r="I203" s="1124"/>
      <c r="J203" s="1124"/>
      <c r="K203" s="969"/>
      <c r="L203" s="969"/>
      <c r="M203" s="969"/>
      <c r="N203" s="969"/>
      <c r="O203" s="969"/>
      <c r="P203" s="969"/>
      <c r="Q203" s="969"/>
    </row>
    <row r="204" spans="8:17" s="970" customFormat="1" x14ac:dyDescent="0.2">
      <c r="H204" s="1124"/>
      <c r="I204" s="1124"/>
      <c r="J204" s="1124"/>
      <c r="K204" s="969"/>
      <c r="L204" s="969"/>
      <c r="M204" s="969"/>
      <c r="N204" s="969"/>
      <c r="O204" s="969"/>
      <c r="P204" s="969"/>
      <c r="Q204" s="969"/>
    </row>
    <row r="205" spans="8:17" s="970" customFormat="1" x14ac:dyDescent="0.2">
      <c r="H205" s="1124"/>
      <c r="I205" s="1124"/>
      <c r="J205" s="1124"/>
      <c r="K205" s="969"/>
      <c r="L205" s="969"/>
      <c r="M205" s="969"/>
      <c r="N205" s="969"/>
      <c r="O205" s="969"/>
      <c r="P205" s="969"/>
      <c r="Q205" s="969"/>
    </row>
    <row r="206" spans="8:17" s="970" customFormat="1" x14ac:dyDescent="0.2">
      <c r="H206" s="1124"/>
      <c r="I206" s="1124"/>
      <c r="J206" s="1124"/>
      <c r="K206" s="969"/>
      <c r="L206" s="969"/>
      <c r="M206" s="969"/>
      <c r="N206" s="969"/>
      <c r="O206" s="969"/>
      <c r="P206" s="969"/>
      <c r="Q206" s="969"/>
    </row>
    <row r="207" spans="8:17" s="970" customFormat="1" x14ac:dyDescent="0.2">
      <c r="H207" s="1124"/>
      <c r="I207" s="1124"/>
      <c r="J207" s="1124"/>
      <c r="K207" s="969"/>
      <c r="L207" s="969"/>
      <c r="M207" s="969"/>
      <c r="N207" s="969"/>
      <c r="O207" s="969"/>
      <c r="P207" s="969"/>
      <c r="Q207" s="969"/>
    </row>
    <row r="208" spans="8:17" s="970" customFormat="1" x14ac:dyDescent="0.2">
      <c r="H208" s="1124"/>
      <c r="I208" s="1124"/>
      <c r="J208" s="1124"/>
      <c r="K208" s="969"/>
      <c r="L208" s="969"/>
      <c r="M208" s="969"/>
      <c r="N208" s="969"/>
      <c r="O208" s="969"/>
      <c r="P208" s="969"/>
      <c r="Q208" s="969"/>
    </row>
    <row r="209" spans="8:17" s="970" customFormat="1" x14ac:dyDescent="0.2">
      <c r="H209" s="1124"/>
      <c r="I209" s="1124"/>
      <c r="J209" s="1124"/>
      <c r="K209" s="969"/>
      <c r="L209" s="969"/>
      <c r="M209" s="969"/>
      <c r="N209" s="969"/>
      <c r="O209" s="969"/>
      <c r="P209" s="969"/>
      <c r="Q209" s="969"/>
    </row>
    <row r="210" spans="8:17" s="970" customFormat="1" x14ac:dyDescent="0.2">
      <c r="H210" s="1124"/>
      <c r="I210" s="1124"/>
      <c r="J210" s="1124"/>
      <c r="K210" s="969"/>
      <c r="L210" s="969"/>
      <c r="M210" s="969"/>
      <c r="N210" s="969"/>
      <c r="O210" s="969"/>
      <c r="P210" s="969"/>
      <c r="Q210" s="969"/>
    </row>
    <row r="211" spans="8:17" s="970" customFormat="1" x14ac:dyDescent="0.2">
      <c r="H211" s="1124"/>
      <c r="I211" s="1124"/>
      <c r="J211" s="1124"/>
      <c r="K211" s="969"/>
      <c r="L211" s="969"/>
      <c r="M211" s="969"/>
      <c r="N211" s="969"/>
      <c r="O211" s="969"/>
      <c r="P211" s="969"/>
      <c r="Q211" s="969"/>
    </row>
    <row r="212" spans="8:17" s="970" customFormat="1" x14ac:dyDescent="0.2">
      <c r="H212" s="1124"/>
      <c r="I212" s="1124"/>
      <c r="J212" s="1124"/>
      <c r="K212" s="969"/>
      <c r="L212" s="969"/>
      <c r="M212" s="969"/>
      <c r="N212" s="969"/>
      <c r="O212" s="969"/>
      <c r="P212" s="969"/>
      <c r="Q212" s="969"/>
    </row>
    <row r="213" spans="8:17" s="970" customFormat="1" x14ac:dyDescent="0.2">
      <c r="H213" s="1124"/>
      <c r="I213" s="1124"/>
      <c r="J213" s="1124"/>
      <c r="K213" s="969"/>
      <c r="L213" s="969"/>
      <c r="M213" s="969"/>
      <c r="N213" s="969"/>
      <c r="O213" s="969"/>
      <c r="P213" s="969"/>
      <c r="Q213" s="969"/>
    </row>
    <row r="214" spans="8:17" s="970" customFormat="1" x14ac:dyDescent="0.2">
      <c r="H214" s="1124"/>
      <c r="I214" s="1124"/>
      <c r="J214" s="1124"/>
      <c r="K214" s="969"/>
      <c r="L214" s="969"/>
      <c r="M214" s="969"/>
      <c r="N214" s="969"/>
      <c r="O214" s="969"/>
      <c r="P214" s="969"/>
      <c r="Q214" s="969"/>
    </row>
    <row r="215" spans="8:17" s="970" customFormat="1" x14ac:dyDescent="0.2">
      <c r="H215" s="1124"/>
      <c r="I215" s="1124"/>
      <c r="J215" s="1124"/>
      <c r="K215" s="969"/>
      <c r="L215" s="969"/>
      <c r="M215" s="969"/>
      <c r="N215" s="969"/>
      <c r="O215" s="969"/>
      <c r="P215" s="969"/>
      <c r="Q215" s="969"/>
    </row>
    <row r="216" spans="8:17" s="970" customFormat="1" x14ac:dyDescent="0.2">
      <c r="H216" s="1124"/>
      <c r="I216" s="1124"/>
      <c r="J216" s="1124"/>
      <c r="K216" s="969"/>
      <c r="L216" s="969"/>
      <c r="M216" s="969"/>
      <c r="N216" s="969"/>
      <c r="O216" s="969"/>
      <c r="P216" s="969"/>
      <c r="Q216" s="969"/>
    </row>
    <row r="217" spans="8:17" s="970" customFormat="1" x14ac:dyDescent="0.2">
      <c r="H217" s="1124"/>
      <c r="I217" s="1124"/>
      <c r="J217" s="1124"/>
      <c r="K217" s="969"/>
      <c r="L217" s="969"/>
      <c r="M217" s="969"/>
      <c r="N217" s="969"/>
      <c r="O217" s="969"/>
      <c r="P217" s="969"/>
      <c r="Q217" s="969"/>
    </row>
    <row r="218" spans="8:17" s="970" customFormat="1" x14ac:dyDescent="0.2">
      <c r="H218" s="1124"/>
      <c r="I218" s="1124"/>
      <c r="J218" s="1124"/>
      <c r="K218" s="969"/>
      <c r="L218" s="969"/>
      <c r="M218" s="969"/>
      <c r="N218" s="969"/>
      <c r="O218" s="969"/>
      <c r="P218" s="969"/>
      <c r="Q218" s="969"/>
    </row>
    <row r="219" spans="8:17" s="970" customFormat="1" x14ac:dyDescent="0.2">
      <c r="H219" s="1124"/>
      <c r="I219" s="1124"/>
      <c r="J219" s="1124"/>
      <c r="K219" s="969"/>
      <c r="L219" s="969"/>
      <c r="M219" s="969"/>
      <c r="N219" s="969"/>
      <c r="O219" s="969"/>
      <c r="P219" s="969"/>
      <c r="Q219" s="969"/>
    </row>
    <row r="220" spans="8:17" s="970" customFormat="1" x14ac:dyDescent="0.2">
      <c r="H220" s="1124"/>
      <c r="I220" s="1124"/>
      <c r="J220" s="1124"/>
      <c r="K220" s="969"/>
      <c r="L220" s="969"/>
      <c r="M220" s="969"/>
      <c r="N220" s="969"/>
      <c r="O220" s="969"/>
      <c r="P220" s="969"/>
      <c r="Q220" s="969"/>
    </row>
    <row r="221" spans="8:17" s="970" customFormat="1" x14ac:dyDescent="0.2">
      <c r="H221" s="1124"/>
      <c r="I221" s="1124"/>
      <c r="J221" s="1124"/>
      <c r="K221" s="969"/>
      <c r="L221" s="969"/>
      <c r="M221" s="969"/>
      <c r="N221" s="969"/>
      <c r="O221" s="969"/>
      <c r="P221" s="969"/>
      <c r="Q221" s="969"/>
    </row>
    <row r="222" spans="8:17" s="970" customFormat="1" x14ac:dyDescent="0.2">
      <c r="H222" s="1124"/>
      <c r="I222" s="1124"/>
      <c r="J222" s="1124"/>
      <c r="K222" s="969"/>
      <c r="L222" s="969"/>
      <c r="M222" s="969"/>
      <c r="N222" s="969"/>
      <c r="O222" s="969"/>
      <c r="P222" s="969"/>
      <c r="Q222" s="969"/>
    </row>
    <row r="223" spans="8:17" s="970" customFormat="1" x14ac:dyDescent="0.2">
      <c r="H223" s="1124"/>
      <c r="I223" s="1124"/>
      <c r="J223" s="1124"/>
      <c r="K223" s="969"/>
      <c r="L223" s="969"/>
      <c r="M223" s="969"/>
      <c r="N223" s="969"/>
      <c r="O223" s="969"/>
      <c r="P223" s="969"/>
      <c r="Q223" s="969"/>
    </row>
    <row r="224" spans="8:17" s="970" customFormat="1" x14ac:dyDescent="0.2">
      <c r="H224" s="1124"/>
      <c r="I224" s="1124"/>
      <c r="J224" s="1124"/>
      <c r="K224" s="969"/>
      <c r="L224" s="969"/>
      <c r="M224" s="969"/>
      <c r="N224" s="969"/>
      <c r="O224" s="969"/>
      <c r="P224" s="969"/>
      <c r="Q224" s="969"/>
    </row>
    <row r="225" spans="8:17" s="970" customFormat="1" x14ac:dyDescent="0.2">
      <c r="H225" s="1124"/>
      <c r="I225" s="1124"/>
      <c r="J225" s="1124"/>
      <c r="K225" s="969"/>
      <c r="L225" s="969"/>
      <c r="M225" s="969"/>
      <c r="N225" s="969"/>
      <c r="O225" s="969"/>
      <c r="P225" s="969"/>
      <c r="Q225" s="969"/>
    </row>
    <row r="226" spans="8:17" s="970" customFormat="1" x14ac:dyDescent="0.2">
      <c r="H226" s="1124"/>
      <c r="I226" s="1124"/>
      <c r="J226" s="1124"/>
      <c r="K226" s="969"/>
      <c r="L226" s="969"/>
      <c r="M226" s="969"/>
      <c r="N226" s="969"/>
      <c r="O226" s="969"/>
      <c r="P226" s="969"/>
      <c r="Q226" s="969"/>
    </row>
    <row r="227" spans="8:17" s="970" customFormat="1" x14ac:dyDescent="0.2">
      <c r="H227" s="1124"/>
      <c r="I227" s="1124"/>
      <c r="J227" s="1124"/>
      <c r="K227" s="969"/>
      <c r="L227" s="969"/>
      <c r="M227" s="969"/>
      <c r="N227" s="969"/>
      <c r="O227" s="969"/>
      <c r="P227" s="969"/>
      <c r="Q227" s="969"/>
    </row>
    <row r="228" spans="8:17" s="970" customFormat="1" x14ac:dyDescent="0.2">
      <c r="H228" s="1124"/>
      <c r="I228" s="1124"/>
      <c r="J228" s="1124"/>
      <c r="K228" s="969"/>
      <c r="L228" s="969"/>
      <c r="M228" s="969"/>
      <c r="N228" s="969"/>
      <c r="O228" s="969"/>
      <c r="P228" s="969"/>
      <c r="Q228" s="969"/>
    </row>
    <row r="229" spans="8:17" s="970" customFormat="1" x14ac:dyDescent="0.2">
      <c r="H229" s="1124"/>
      <c r="I229" s="1124"/>
      <c r="J229" s="1124"/>
      <c r="K229" s="969"/>
      <c r="L229" s="969"/>
      <c r="M229" s="969"/>
      <c r="N229" s="969"/>
      <c r="O229" s="969"/>
      <c r="P229" s="969"/>
      <c r="Q229" s="969"/>
    </row>
    <row r="230" spans="8:17" s="970" customFormat="1" x14ac:dyDescent="0.2">
      <c r="H230" s="1124"/>
      <c r="I230" s="1124"/>
      <c r="J230" s="1124"/>
      <c r="K230" s="969"/>
      <c r="L230" s="969"/>
      <c r="M230" s="969"/>
      <c r="N230" s="969"/>
      <c r="O230" s="969"/>
      <c r="P230" s="969"/>
      <c r="Q230" s="969"/>
    </row>
    <row r="231" spans="8:17" s="970" customFormat="1" x14ac:dyDescent="0.2">
      <c r="H231" s="1124"/>
      <c r="I231" s="1124"/>
      <c r="J231" s="1124"/>
      <c r="K231" s="969"/>
      <c r="L231" s="969"/>
      <c r="M231" s="969"/>
      <c r="N231" s="969"/>
      <c r="O231" s="969"/>
      <c r="P231" s="969"/>
      <c r="Q231" s="969"/>
    </row>
    <row r="232" spans="8:17" s="970" customFormat="1" x14ac:dyDescent="0.2">
      <c r="H232" s="1124"/>
      <c r="I232" s="1124"/>
      <c r="J232" s="1124"/>
      <c r="K232" s="969"/>
      <c r="L232" s="969"/>
      <c r="M232" s="969"/>
      <c r="N232" s="969"/>
      <c r="O232" s="969"/>
      <c r="P232" s="969"/>
      <c r="Q232" s="969"/>
    </row>
    <row r="233" spans="8:17" s="970" customFormat="1" x14ac:dyDescent="0.2">
      <c r="H233" s="1124"/>
      <c r="I233" s="1124"/>
      <c r="J233" s="1124"/>
      <c r="K233" s="969"/>
      <c r="L233" s="969"/>
      <c r="M233" s="969"/>
      <c r="N233" s="969"/>
      <c r="O233" s="969"/>
      <c r="P233" s="969"/>
      <c r="Q233" s="969"/>
    </row>
    <row r="234" spans="8:17" s="970" customFormat="1" x14ac:dyDescent="0.2">
      <c r="H234" s="1124"/>
      <c r="I234" s="1124"/>
      <c r="J234" s="1124"/>
      <c r="K234" s="969"/>
      <c r="L234" s="969"/>
      <c r="M234" s="969"/>
      <c r="N234" s="969"/>
      <c r="O234" s="969"/>
      <c r="P234" s="969"/>
      <c r="Q234" s="969"/>
    </row>
    <row r="235" spans="8:17" s="970" customFormat="1" x14ac:dyDescent="0.2">
      <c r="H235" s="1124"/>
      <c r="I235" s="1124"/>
      <c r="J235" s="1124"/>
      <c r="K235" s="969"/>
      <c r="L235" s="969"/>
      <c r="M235" s="969"/>
      <c r="N235" s="969"/>
      <c r="O235" s="969"/>
      <c r="P235" s="969"/>
      <c r="Q235" s="969"/>
    </row>
    <row r="236" spans="8:17" s="970" customFormat="1" x14ac:dyDescent="0.2">
      <c r="H236" s="1124"/>
      <c r="I236" s="1124"/>
      <c r="J236" s="1124"/>
      <c r="K236" s="969"/>
      <c r="L236" s="969"/>
      <c r="M236" s="969"/>
      <c r="N236" s="969"/>
      <c r="O236" s="969"/>
      <c r="P236" s="969"/>
      <c r="Q236" s="969"/>
    </row>
    <row r="237" spans="8:17" s="970" customFormat="1" x14ac:dyDescent="0.2">
      <c r="H237" s="1124"/>
      <c r="I237" s="1124"/>
      <c r="J237" s="1124"/>
      <c r="K237" s="969"/>
      <c r="L237" s="969"/>
      <c r="M237" s="969"/>
      <c r="N237" s="969"/>
      <c r="O237" s="969"/>
      <c r="P237" s="969"/>
      <c r="Q237" s="969"/>
    </row>
    <row r="238" spans="8:17" s="970" customFormat="1" x14ac:dyDescent="0.2">
      <c r="H238" s="1124"/>
      <c r="I238" s="1124"/>
      <c r="J238" s="1124"/>
      <c r="K238" s="969"/>
      <c r="L238" s="969"/>
      <c r="M238" s="969"/>
      <c r="N238" s="969"/>
      <c r="O238" s="969"/>
      <c r="P238" s="969"/>
      <c r="Q238" s="969"/>
    </row>
    <row r="239" spans="8:17" s="970" customFormat="1" x14ac:dyDescent="0.2">
      <c r="H239" s="1124"/>
      <c r="I239" s="1124"/>
      <c r="J239" s="1124"/>
      <c r="K239" s="969"/>
      <c r="L239" s="969"/>
      <c r="M239" s="969"/>
      <c r="N239" s="969"/>
      <c r="O239" s="969"/>
      <c r="P239" s="969"/>
      <c r="Q239" s="969"/>
    </row>
    <row r="240" spans="8:17" s="970" customFormat="1" x14ac:dyDescent="0.2">
      <c r="H240" s="1124"/>
      <c r="I240" s="1124"/>
      <c r="J240" s="1124"/>
      <c r="K240" s="969"/>
      <c r="L240" s="969"/>
      <c r="M240" s="969"/>
      <c r="N240" s="969"/>
      <c r="O240" s="969"/>
      <c r="P240" s="969"/>
      <c r="Q240" s="969"/>
    </row>
    <row r="241" spans="8:17" s="970" customFormat="1" x14ac:dyDescent="0.2">
      <c r="H241" s="1124"/>
      <c r="I241" s="1124"/>
      <c r="J241" s="1124"/>
      <c r="K241" s="969"/>
      <c r="L241" s="969"/>
      <c r="M241" s="969"/>
      <c r="N241" s="969"/>
      <c r="O241" s="969"/>
      <c r="P241" s="969"/>
      <c r="Q241" s="969"/>
    </row>
    <row r="242" spans="8:17" s="970" customFormat="1" x14ac:dyDescent="0.2">
      <c r="H242" s="1124"/>
      <c r="I242" s="1124"/>
      <c r="J242" s="1124"/>
      <c r="K242" s="969"/>
      <c r="L242" s="969"/>
      <c r="M242" s="969"/>
      <c r="N242" s="969"/>
      <c r="O242" s="969"/>
      <c r="P242" s="969"/>
      <c r="Q242" s="969"/>
    </row>
    <row r="243" spans="8:17" s="970" customFormat="1" x14ac:dyDescent="0.2">
      <c r="H243" s="1124"/>
      <c r="I243" s="1124"/>
      <c r="J243" s="1124"/>
      <c r="K243" s="969"/>
      <c r="L243" s="969"/>
      <c r="M243" s="969"/>
      <c r="N243" s="969"/>
      <c r="O243" s="969"/>
      <c r="P243" s="969"/>
      <c r="Q243" s="969"/>
    </row>
    <row r="244" spans="8:17" s="970" customFormat="1" x14ac:dyDescent="0.2">
      <c r="H244" s="1124"/>
      <c r="I244" s="1124"/>
      <c r="J244" s="1124"/>
      <c r="K244" s="969"/>
      <c r="L244" s="969"/>
      <c r="M244" s="969"/>
      <c r="N244" s="969"/>
      <c r="O244" s="969"/>
      <c r="P244" s="969"/>
      <c r="Q244" s="969"/>
    </row>
    <row r="245" spans="8:17" s="970" customFormat="1" x14ac:dyDescent="0.2">
      <c r="H245" s="1124"/>
      <c r="I245" s="1124"/>
      <c r="J245" s="1124"/>
      <c r="K245" s="969"/>
      <c r="L245" s="969"/>
      <c r="M245" s="969"/>
      <c r="N245" s="969"/>
      <c r="O245" s="969"/>
      <c r="P245" s="969"/>
      <c r="Q245" s="969"/>
    </row>
    <row r="246" spans="8:17" s="970" customFormat="1" x14ac:dyDescent="0.2">
      <c r="H246" s="1124"/>
      <c r="I246" s="1124"/>
      <c r="J246" s="1124"/>
      <c r="K246" s="969"/>
      <c r="L246" s="969"/>
      <c r="M246" s="969"/>
      <c r="N246" s="969"/>
      <c r="O246" s="969"/>
      <c r="P246" s="969"/>
      <c r="Q246" s="969"/>
    </row>
    <row r="247" spans="8:17" s="970" customFormat="1" x14ac:dyDescent="0.2">
      <c r="H247" s="1124"/>
      <c r="I247" s="1124"/>
      <c r="J247" s="1124"/>
      <c r="K247" s="969"/>
      <c r="L247" s="969"/>
      <c r="M247" s="969"/>
      <c r="N247" s="969"/>
      <c r="O247" s="969"/>
      <c r="P247" s="969"/>
      <c r="Q247" s="969"/>
    </row>
    <row r="248" spans="8:17" s="970" customFormat="1" x14ac:dyDescent="0.2">
      <c r="H248" s="1124"/>
      <c r="I248" s="1124"/>
      <c r="J248" s="1124"/>
      <c r="K248" s="969"/>
      <c r="L248" s="969"/>
      <c r="M248" s="969"/>
      <c r="N248" s="969"/>
      <c r="O248" s="969"/>
      <c r="P248" s="969"/>
      <c r="Q248" s="969"/>
    </row>
    <row r="249" spans="8:17" s="970" customFormat="1" x14ac:dyDescent="0.2">
      <c r="H249" s="1124"/>
      <c r="I249" s="1124"/>
      <c r="J249" s="1124"/>
      <c r="K249" s="969"/>
      <c r="L249" s="969"/>
      <c r="M249" s="969"/>
      <c r="N249" s="969"/>
      <c r="O249" s="969"/>
      <c r="P249" s="969"/>
      <c r="Q249" s="969"/>
    </row>
    <row r="250" spans="8:17" s="970" customFormat="1" x14ac:dyDescent="0.2">
      <c r="H250" s="1124"/>
      <c r="I250" s="1124"/>
      <c r="J250" s="1124"/>
      <c r="K250" s="969"/>
      <c r="L250" s="969"/>
      <c r="M250" s="969"/>
      <c r="N250" s="969"/>
      <c r="O250" s="969"/>
      <c r="P250" s="969"/>
      <c r="Q250" s="969"/>
    </row>
    <row r="251" spans="8:17" s="970" customFormat="1" x14ac:dyDescent="0.2">
      <c r="H251" s="1124"/>
      <c r="I251" s="1124"/>
      <c r="J251" s="1124"/>
      <c r="K251" s="969"/>
      <c r="L251" s="969"/>
      <c r="M251" s="969"/>
      <c r="N251" s="969"/>
      <c r="O251" s="969"/>
      <c r="P251" s="969"/>
      <c r="Q251" s="969"/>
    </row>
    <row r="252" spans="8:17" s="970" customFormat="1" x14ac:dyDescent="0.2">
      <c r="H252" s="1124"/>
      <c r="I252" s="1124"/>
      <c r="J252" s="1124"/>
      <c r="K252" s="969"/>
      <c r="L252" s="969"/>
      <c r="M252" s="969"/>
      <c r="N252" s="969"/>
      <c r="O252" s="969"/>
      <c r="P252" s="969"/>
      <c r="Q252" s="969"/>
    </row>
    <row r="253" spans="8:17" s="970" customFormat="1" x14ac:dyDescent="0.2">
      <c r="H253" s="1124"/>
      <c r="I253" s="1124"/>
      <c r="J253" s="1124"/>
      <c r="K253" s="969"/>
      <c r="L253" s="969"/>
      <c r="M253" s="969"/>
      <c r="N253" s="969"/>
      <c r="O253" s="969"/>
      <c r="P253" s="969"/>
      <c r="Q253" s="969"/>
    </row>
    <row r="254" spans="8:17" s="970" customFormat="1" x14ac:dyDescent="0.2">
      <c r="H254" s="1124"/>
      <c r="I254" s="1124"/>
      <c r="J254" s="1124"/>
      <c r="K254" s="969"/>
      <c r="L254" s="969"/>
      <c r="M254" s="969"/>
      <c r="N254" s="969"/>
      <c r="O254" s="969"/>
      <c r="P254" s="969"/>
      <c r="Q254" s="969"/>
    </row>
    <row r="255" spans="8:17" s="970" customFormat="1" x14ac:dyDescent="0.2">
      <c r="H255" s="1124"/>
      <c r="I255" s="1124"/>
      <c r="J255" s="1124"/>
      <c r="K255" s="969"/>
      <c r="L255" s="969"/>
      <c r="M255" s="969"/>
      <c r="N255" s="969"/>
      <c r="O255" s="969"/>
      <c r="P255" s="969"/>
      <c r="Q255" s="969"/>
    </row>
    <row r="256" spans="8:17" s="970" customFormat="1" x14ac:dyDescent="0.2">
      <c r="H256" s="1124"/>
      <c r="I256" s="1124"/>
      <c r="J256" s="1124"/>
      <c r="K256" s="969"/>
      <c r="L256" s="969"/>
      <c r="M256" s="969"/>
      <c r="N256" s="969"/>
      <c r="O256" s="969"/>
      <c r="P256" s="969"/>
      <c r="Q256" s="969"/>
    </row>
    <row r="257" spans="8:17" s="970" customFormat="1" x14ac:dyDescent="0.2">
      <c r="H257" s="1124"/>
      <c r="I257" s="1124"/>
      <c r="J257" s="1124"/>
      <c r="K257" s="969"/>
      <c r="L257" s="969"/>
      <c r="M257" s="969"/>
      <c r="N257" s="969"/>
      <c r="O257" s="969"/>
      <c r="P257" s="969"/>
      <c r="Q257" s="969"/>
    </row>
    <row r="258" spans="8:17" s="970" customFormat="1" x14ac:dyDescent="0.2">
      <c r="H258" s="1124"/>
      <c r="I258" s="1124"/>
      <c r="J258" s="1124"/>
      <c r="K258" s="969"/>
      <c r="L258" s="969"/>
      <c r="M258" s="969"/>
      <c r="N258" s="969"/>
      <c r="O258" s="969"/>
      <c r="P258" s="969"/>
      <c r="Q258" s="969"/>
    </row>
    <row r="259" spans="8:17" s="970" customFormat="1" x14ac:dyDescent="0.2">
      <c r="H259" s="1124"/>
      <c r="I259" s="1124"/>
      <c r="J259" s="1124"/>
      <c r="K259" s="969"/>
      <c r="L259" s="969"/>
      <c r="M259" s="969"/>
      <c r="N259" s="969"/>
      <c r="O259" s="969"/>
      <c r="P259" s="969"/>
      <c r="Q259" s="969"/>
    </row>
    <row r="260" spans="8:17" s="970" customFormat="1" x14ac:dyDescent="0.2">
      <c r="H260" s="1124"/>
      <c r="I260" s="1124"/>
      <c r="J260" s="1124"/>
      <c r="K260" s="969"/>
      <c r="L260" s="969"/>
      <c r="M260" s="969"/>
      <c r="N260" s="969"/>
      <c r="O260" s="969"/>
      <c r="P260" s="969"/>
      <c r="Q260" s="969"/>
    </row>
    <row r="261" spans="8:17" s="970" customFormat="1" x14ac:dyDescent="0.2">
      <c r="H261" s="1124"/>
      <c r="I261" s="1124"/>
      <c r="J261" s="1124"/>
      <c r="K261" s="969"/>
      <c r="L261" s="969"/>
      <c r="M261" s="969"/>
      <c r="N261" s="969"/>
      <c r="O261" s="969"/>
      <c r="P261" s="969"/>
      <c r="Q261" s="969"/>
    </row>
    <row r="262" spans="8:17" s="970" customFormat="1" x14ac:dyDescent="0.2">
      <c r="H262" s="1124"/>
      <c r="I262" s="1124"/>
      <c r="J262" s="1124"/>
      <c r="K262" s="969"/>
      <c r="L262" s="969"/>
      <c r="M262" s="969"/>
      <c r="N262" s="969"/>
      <c r="O262" s="969"/>
      <c r="P262" s="969"/>
      <c r="Q262" s="969"/>
    </row>
    <row r="263" spans="8:17" s="970" customFormat="1" x14ac:dyDescent="0.2">
      <c r="H263" s="1124"/>
      <c r="I263" s="1124"/>
      <c r="J263" s="1124"/>
      <c r="K263" s="969"/>
      <c r="L263" s="969"/>
      <c r="M263" s="969"/>
      <c r="N263" s="969"/>
      <c r="O263" s="969"/>
      <c r="P263" s="969"/>
      <c r="Q263" s="969"/>
    </row>
    <row r="264" spans="8:17" s="970" customFormat="1" x14ac:dyDescent="0.2">
      <c r="H264" s="1124"/>
      <c r="I264" s="1124"/>
      <c r="J264" s="1124"/>
      <c r="K264" s="969"/>
      <c r="L264" s="969"/>
      <c r="M264" s="969"/>
      <c r="N264" s="969"/>
      <c r="O264" s="969"/>
      <c r="P264" s="969"/>
      <c r="Q264" s="969"/>
    </row>
    <row r="265" spans="8:17" s="970" customFormat="1" x14ac:dyDescent="0.2">
      <c r="H265" s="1124"/>
      <c r="I265" s="1124"/>
      <c r="J265" s="1124"/>
      <c r="K265" s="969"/>
      <c r="L265" s="969"/>
      <c r="M265" s="969"/>
      <c r="N265" s="969"/>
      <c r="O265" s="969"/>
      <c r="P265" s="969"/>
      <c r="Q265" s="969"/>
    </row>
    <row r="266" spans="8:17" s="970" customFormat="1" x14ac:dyDescent="0.2">
      <c r="H266" s="1124"/>
      <c r="I266" s="1124"/>
      <c r="J266" s="1124"/>
      <c r="K266" s="969"/>
      <c r="L266" s="969"/>
      <c r="M266" s="969"/>
      <c r="N266" s="969"/>
      <c r="O266" s="969"/>
      <c r="P266" s="969"/>
      <c r="Q266" s="969"/>
    </row>
    <row r="267" spans="8:17" s="970" customFormat="1" x14ac:dyDescent="0.2">
      <c r="H267" s="1124"/>
      <c r="I267" s="1124"/>
      <c r="J267" s="1124"/>
      <c r="K267" s="969"/>
      <c r="L267" s="969"/>
      <c r="M267" s="969"/>
      <c r="N267" s="969"/>
      <c r="O267" s="969"/>
      <c r="P267" s="969"/>
      <c r="Q267" s="969"/>
    </row>
    <row r="268" spans="8:17" s="970" customFormat="1" x14ac:dyDescent="0.2">
      <c r="H268" s="1124"/>
      <c r="I268" s="1124"/>
      <c r="J268" s="1124"/>
      <c r="K268" s="969"/>
      <c r="L268" s="969"/>
      <c r="M268" s="969"/>
      <c r="N268" s="969"/>
      <c r="O268" s="969"/>
      <c r="P268" s="969"/>
      <c r="Q268" s="969"/>
    </row>
    <row r="269" spans="8:17" s="970" customFormat="1" x14ac:dyDescent="0.2">
      <c r="H269" s="1124"/>
      <c r="I269" s="1124"/>
      <c r="J269" s="1124"/>
      <c r="K269" s="969"/>
      <c r="L269" s="969"/>
      <c r="M269" s="969"/>
      <c r="N269" s="969"/>
      <c r="O269" s="969"/>
      <c r="P269" s="969"/>
      <c r="Q269" s="969"/>
    </row>
    <row r="270" spans="8:17" s="970" customFormat="1" x14ac:dyDescent="0.2">
      <c r="H270" s="1124"/>
      <c r="I270" s="1124"/>
      <c r="J270" s="1124"/>
      <c r="K270" s="969"/>
      <c r="L270" s="969"/>
      <c r="M270" s="969"/>
      <c r="N270" s="969"/>
      <c r="O270" s="969"/>
      <c r="P270" s="969"/>
      <c r="Q270" s="969"/>
    </row>
    <row r="271" spans="8:17" s="970" customFormat="1" x14ac:dyDescent="0.2">
      <c r="H271" s="1124"/>
      <c r="I271" s="1124"/>
      <c r="J271" s="1124"/>
      <c r="K271" s="969"/>
      <c r="L271" s="969"/>
      <c r="M271" s="969"/>
      <c r="N271" s="969"/>
      <c r="O271" s="969"/>
      <c r="P271" s="969"/>
      <c r="Q271" s="969"/>
    </row>
    <row r="272" spans="8:17" s="970" customFormat="1" x14ac:dyDescent="0.2">
      <c r="H272" s="1124"/>
      <c r="I272" s="1124"/>
      <c r="J272" s="1124"/>
      <c r="K272" s="969"/>
      <c r="L272" s="969"/>
      <c r="M272" s="969"/>
      <c r="N272" s="969"/>
      <c r="O272" s="969"/>
      <c r="P272" s="969"/>
      <c r="Q272" s="969"/>
    </row>
    <row r="273" spans="8:17" s="970" customFormat="1" x14ac:dyDescent="0.2">
      <c r="H273" s="1124"/>
      <c r="I273" s="1124"/>
      <c r="J273" s="1124"/>
      <c r="K273" s="969"/>
      <c r="L273" s="969"/>
      <c r="M273" s="969"/>
      <c r="N273" s="969"/>
      <c r="O273" s="969"/>
      <c r="P273" s="969"/>
      <c r="Q273" s="969"/>
    </row>
    <row r="274" spans="8:17" s="970" customFormat="1" x14ac:dyDescent="0.2">
      <c r="H274" s="1124"/>
      <c r="I274" s="1124"/>
      <c r="J274" s="1124"/>
      <c r="K274" s="969"/>
      <c r="L274" s="969"/>
      <c r="M274" s="969"/>
      <c r="N274" s="969"/>
      <c r="O274" s="969"/>
      <c r="P274" s="969"/>
      <c r="Q274" s="969"/>
    </row>
    <row r="275" spans="8:17" s="970" customFormat="1" x14ac:dyDescent="0.2">
      <c r="H275" s="1124"/>
      <c r="I275" s="1124"/>
      <c r="J275" s="1124"/>
      <c r="K275" s="969"/>
      <c r="L275" s="969"/>
      <c r="M275" s="969"/>
      <c r="N275" s="969"/>
      <c r="O275" s="969"/>
      <c r="P275" s="969"/>
      <c r="Q275" s="969"/>
    </row>
    <row r="276" spans="8:17" s="970" customFormat="1" x14ac:dyDescent="0.2">
      <c r="H276" s="1124"/>
      <c r="I276" s="1124"/>
      <c r="J276" s="1124"/>
      <c r="K276" s="969"/>
      <c r="L276" s="969"/>
      <c r="M276" s="969"/>
      <c r="N276" s="969"/>
      <c r="O276" s="969"/>
      <c r="P276" s="969"/>
      <c r="Q276" s="969"/>
    </row>
    <row r="277" spans="8:17" s="970" customFormat="1" x14ac:dyDescent="0.2">
      <c r="H277" s="1124"/>
      <c r="I277" s="1124"/>
      <c r="J277" s="1124"/>
      <c r="K277" s="969"/>
      <c r="L277" s="969"/>
      <c r="M277" s="969"/>
      <c r="N277" s="969"/>
      <c r="O277" s="969"/>
      <c r="P277" s="969"/>
      <c r="Q277" s="969"/>
    </row>
    <row r="278" spans="8:17" s="970" customFormat="1" x14ac:dyDescent="0.2">
      <c r="H278" s="1124"/>
      <c r="I278" s="1124"/>
      <c r="J278" s="1124"/>
      <c r="K278" s="969"/>
      <c r="L278" s="969"/>
      <c r="M278" s="969"/>
      <c r="N278" s="969"/>
      <c r="O278" s="969"/>
      <c r="P278" s="969"/>
      <c r="Q278" s="969"/>
    </row>
    <row r="279" spans="8:17" s="970" customFormat="1" x14ac:dyDescent="0.2">
      <c r="H279" s="1124"/>
      <c r="I279" s="1124"/>
      <c r="J279" s="1124"/>
      <c r="K279" s="969"/>
      <c r="L279" s="969"/>
      <c r="M279" s="969"/>
      <c r="N279" s="969"/>
      <c r="O279" s="969"/>
      <c r="P279" s="969"/>
      <c r="Q279" s="969"/>
    </row>
    <row r="280" spans="8:17" s="970" customFormat="1" x14ac:dyDescent="0.2">
      <c r="H280" s="1124"/>
      <c r="I280" s="1124"/>
      <c r="J280" s="1124"/>
      <c r="K280" s="969"/>
      <c r="L280" s="969"/>
      <c r="M280" s="969"/>
      <c r="N280" s="969"/>
      <c r="O280" s="969"/>
      <c r="P280" s="969"/>
      <c r="Q280" s="969"/>
    </row>
    <row r="281" spans="8:17" s="970" customFormat="1" x14ac:dyDescent="0.2">
      <c r="H281" s="1124"/>
      <c r="I281" s="1124"/>
      <c r="J281" s="1124"/>
      <c r="K281" s="969"/>
      <c r="L281" s="969"/>
      <c r="M281" s="969"/>
      <c r="N281" s="969"/>
      <c r="O281" s="969"/>
      <c r="P281" s="969"/>
      <c r="Q281" s="969"/>
    </row>
    <row r="282" spans="8:17" s="970" customFormat="1" x14ac:dyDescent="0.2">
      <c r="H282" s="1124"/>
      <c r="I282" s="1124"/>
      <c r="J282" s="1124"/>
      <c r="K282" s="969"/>
      <c r="L282" s="969"/>
      <c r="M282" s="969"/>
      <c r="N282" s="969"/>
      <c r="O282" s="969"/>
      <c r="P282" s="969"/>
      <c r="Q282" s="969"/>
    </row>
    <row r="283" spans="8:17" s="970" customFormat="1" x14ac:dyDescent="0.2">
      <c r="H283" s="1124"/>
      <c r="I283" s="1124"/>
      <c r="J283" s="1124"/>
      <c r="K283" s="969"/>
      <c r="L283" s="969"/>
      <c r="M283" s="969"/>
      <c r="N283" s="969"/>
      <c r="O283" s="969"/>
      <c r="P283" s="969"/>
      <c r="Q283" s="969"/>
    </row>
    <row r="284" spans="8:17" s="970" customFormat="1" x14ac:dyDescent="0.2">
      <c r="H284" s="1124"/>
      <c r="I284" s="1124"/>
      <c r="J284" s="1124"/>
      <c r="K284" s="969"/>
      <c r="L284" s="969"/>
      <c r="M284" s="969"/>
      <c r="N284" s="969"/>
      <c r="O284" s="969"/>
      <c r="P284" s="969"/>
      <c r="Q284" s="969"/>
    </row>
    <row r="285" spans="8:17" s="970" customFormat="1" x14ac:dyDescent="0.2">
      <c r="H285" s="1124"/>
      <c r="I285" s="1124"/>
      <c r="J285" s="1124"/>
      <c r="K285" s="969"/>
      <c r="L285" s="969"/>
      <c r="M285" s="969"/>
      <c r="N285" s="969"/>
      <c r="O285" s="969"/>
      <c r="P285" s="969"/>
      <c r="Q285" s="969"/>
    </row>
    <row r="286" spans="8:17" s="970" customFormat="1" x14ac:dyDescent="0.2">
      <c r="H286" s="1124"/>
      <c r="I286" s="1124"/>
      <c r="J286" s="1124"/>
      <c r="K286" s="969"/>
      <c r="L286" s="969"/>
      <c r="M286" s="969"/>
      <c r="N286" s="969"/>
      <c r="O286" s="969"/>
      <c r="P286" s="969"/>
      <c r="Q286" s="969"/>
    </row>
    <row r="287" spans="8:17" s="970" customFormat="1" x14ac:dyDescent="0.2">
      <c r="H287" s="1124"/>
      <c r="I287" s="1124"/>
      <c r="J287" s="1124"/>
      <c r="K287" s="969"/>
      <c r="L287" s="969"/>
      <c r="M287" s="969"/>
      <c r="N287" s="969"/>
      <c r="O287" s="969"/>
      <c r="P287" s="969"/>
      <c r="Q287" s="969"/>
    </row>
    <row r="288" spans="8:17" s="970" customFormat="1" x14ac:dyDescent="0.2">
      <c r="H288" s="1124"/>
      <c r="I288" s="1124"/>
      <c r="J288" s="1124"/>
      <c r="K288" s="969"/>
      <c r="L288" s="969"/>
      <c r="M288" s="969"/>
      <c r="N288" s="969"/>
      <c r="O288" s="969"/>
      <c r="P288" s="969"/>
      <c r="Q288" s="969"/>
    </row>
    <row r="289" spans="8:17" s="970" customFormat="1" x14ac:dyDescent="0.2">
      <c r="H289" s="1124"/>
      <c r="I289" s="1124"/>
      <c r="J289" s="1124"/>
      <c r="K289" s="969"/>
      <c r="L289" s="969"/>
      <c r="M289" s="969"/>
      <c r="N289" s="969"/>
      <c r="O289" s="969"/>
      <c r="P289" s="969"/>
      <c r="Q289" s="969"/>
    </row>
    <row r="290" spans="8:17" s="970" customFormat="1" x14ac:dyDescent="0.2">
      <c r="H290" s="1124"/>
      <c r="I290" s="1124"/>
      <c r="J290" s="1124"/>
      <c r="K290" s="969"/>
      <c r="L290" s="969"/>
      <c r="M290" s="969"/>
      <c r="N290" s="969"/>
      <c r="O290" s="969"/>
      <c r="P290" s="969"/>
      <c r="Q290" s="969"/>
    </row>
    <row r="291" spans="8:17" s="970" customFormat="1" x14ac:dyDescent="0.2">
      <c r="H291" s="1124"/>
      <c r="I291" s="1124"/>
      <c r="J291" s="1124"/>
      <c r="K291" s="969"/>
      <c r="L291" s="969"/>
      <c r="M291" s="969"/>
      <c r="N291" s="969"/>
      <c r="O291" s="969"/>
      <c r="P291" s="969"/>
      <c r="Q291" s="969"/>
    </row>
    <row r="292" spans="8:17" s="970" customFormat="1" x14ac:dyDescent="0.2">
      <c r="H292" s="1124"/>
      <c r="I292" s="1124"/>
      <c r="J292" s="1124"/>
      <c r="K292" s="969"/>
      <c r="L292" s="969"/>
      <c r="M292" s="969"/>
      <c r="N292" s="969"/>
      <c r="O292" s="969"/>
      <c r="P292" s="969"/>
      <c r="Q292" s="969"/>
    </row>
    <row r="293" spans="8:17" s="970" customFormat="1" x14ac:dyDescent="0.2">
      <c r="H293" s="1124"/>
      <c r="I293" s="1124"/>
      <c r="J293" s="1124"/>
      <c r="K293" s="969"/>
      <c r="L293" s="969"/>
      <c r="M293" s="969"/>
      <c r="N293" s="969"/>
      <c r="O293" s="969"/>
      <c r="P293" s="969"/>
      <c r="Q293" s="969"/>
    </row>
    <row r="294" spans="8:17" s="970" customFormat="1" x14ac:dyDescent="0.2">
      <c r="H294" s="1124"/>
      <c r="I294" s="1124"/>
      <c r="J294" s="1124"/>
      <c r="K294" s="969"/>
      <c r="L294" s="969"/>
      <c r="M294" s="969"/>
      <c r="N294" s="969"/>
      <c r="O294" s="969"/>
      <c r="P294" s="969"/>
      <c r="Q294" s="969"/>
    </row>
    <row r="295" spans="8:17" s="970" customFormat="1" x14ac:dyDescent="0.2">
      <c r="H295" s="1124"/>
      <c r="I295" s="1124"/>
      <c r="J295" s="1124"/>
      <c r="K295" s="969"/>
      <c r="L295" s="969"/>
      <c r="M295" s="969"/>
      <c r="N295" s="969"/>
      <c r="O295" s="969"/>
      <c r="P295" s="969"/>
      <c r="Q295" s="969"/>
    </row>
    <row r="296" spans="8:17" s="970" customFormat="1" x14ac:dyDescent="0.2">
      <c r="H296" s="1124"/>
      <c r="I296" s="1124"/>
      <c r="J296" s="1124"/>
      <c r="K296" s="969"/>
      <c r="L296" s="969"/>
      <c r="M296" s="969"/>
      <c r="N296" s="969"/>
      <c r="O296" s="969"/>
      <c r="P296" s="969"/>
      <c r="Q296" s="969"/>
    </row>
    <row r="297" spans="8:17" s="970" customFormat="1" x14ac:dyDescent="0.2">
      <c r="H297" s="1124"/>
      <c r="I297" s="1124"/>
      <c r="J297" s="1124"/>
      <c r="K297" s="969"/>
      <c r="L297" s="969"/>
      <c r="M297" s="969"/>
      <c r="N297" s="969"/>
      <c r="O297" s="969"/>
      <c r="P297" s="969"/>
      <c r="Q297" s="969"/>
    </row>
    <row r="298" spans="8:17" s="970" customFormat="1" x14ac:dyDescent="0.2">
      <c r="H298" s="1124"/>
      <c r="I298" s="1124"/>
      <c r="J298" s="1124"/>
      <c r="K298" s="969"/>
      <c r="L298" s="969"/>
      <c r="M298" s="969"/>
      <c r="N298" s="969"/>
      <c r="O298" s="969"/>
      <c r="P298" s="969"/>
      <c r="Q298" s="969"/>
    </row>
    <row r="299" spans="8:17" s="970" customFormat="1" x14ac:dyDescent="0.2">
      <c r="H299" s="1124"/>
      <c r="I299" s="1124"/>
      <c r="J299" s="1124"/>
      <c r="K299" s="969"/>
      <c r="L299" s="969"/>
      <c r="M299" s="969"/>
      <c r="N299" s="969"/>
      <c r="O299" s="969"/>
      <c r="P299" s="969"/>
      <c r="Q299" s="969"/>
    </row>
    <row r="300" spans="8:17" s="970" customFormat="1" x14ac:dyDescent="0.2">
      <c r="H300" s="1124"/>
      <c r="I300" s="1124"/>
      <c r="J300" s="1124"/>
      <c r="K300" s="969"/>
      <c r="L300" s="969"/>
      <c r="M300" s="969"/>
      <c r="N300" s="969"/>
      <c r="O300" s="969"/>
      <c r="P300" s="969"/>
      <c r="Q300" s="969"/>
    </row>
    <row r="301" spans="8:17" s="970" customFormat="1" x14ac:dyDescent="0.2">
      <c r="H301" s="1124"/>
      <c r="I301" s="1124"/>
      <c r="J301" s="1124"/>
      <c r="K301" s="969"/>
      <c r="L301" s="969"/>
      <c r="M301" s="969"/>
      <c r="N301" s="969"/>
      <c r="O301" s="969"/>
      <c r="P301" s="969"/>
      <c r="Q301" s="969"/>
    </row>
    <row r="302" spans="8:17" s="970" customFormat="1" x14ac:dyDescent="0.2">
      <c r="H302" s="1124"/>
      <c r="I302" s="1124"/>
      <c r="J302" s="1124"/>
      <c r="K302" s="969"/>
      <c r="L302" s="969"/>
      <c r="M302" s="969"/>
      <c r="N302" s="969"/>
      <c r="O302" s="969"/>
      <c r="P302" s="969"/>
      <c r="Q302" s="969"/>
    </row>
    <row r="303" spans="8:17" s="970" customFormat="1" x14ac:dyDescent="0.2">
      <c r="H303" s="1124"/>
      <c r="I303" s="1124"/>
      <c r="J303" s="1124"/>
      <c r="K303" s="969"/>
      <c r="L303" s="969"/>
      <c r="M303" s="969"/>
      <c r="N303" s="969"/>
      <c r="O303" s="969"/>
      <c r="P303" s="969"/>
      <c r="Q303" s="969"/>
    </row>
    <row r="304" spans="8:17" s="970" customFormat="1" x14ac:dyDescent="0.2">
      <c r="H304" s="1124"/>
      <c r="I304" s="1124"/>
      <c r="J304" s="1124"/>
      <c r="K304" s="969"/>
      <c r="L304" s="969"/>
      <c r="M304" s="969"/>
      <c r="N304" s="969"/>
      <c r="O304" s="969"/>
      <c r="P304" s="969"/>
      <c r="Q304" s="969"/>
    </row>
    <row r="305" spans="8:17" s="970" customFormat="1" x14ac:dyDescent="0.2">
      <c r="H305" s="1124"/>
      <c r="I305" s="1124"/>
      <c r="J305" s="1124"/>
      <c r="K305" s="969"/>
      <c r="L305" s="969"/>
      <c r="M305" s="969"/>
      <c r="N305" s="969"/>
      <c r="O305" s="969"/>
      <c r="P305" s="969"/>
      <c r="Q305" s="969"/>
    </row>
    <row r="306" spans="8:17" s="970" customFormat="1" x14ac:dyDescent="0.2">
      <c r="H306" s="1124"/>
      <c r="I306" s="1124"/>
      <c r="J306" s="1124"/>
      <c r="K306" s="969"/>
      <c r="L306" s="969"/>
      <c r="M306" s="969"/>
      <c r="N306" s="969"/>
      <c r="O306" s="969"/>
      <c r="P306" s="969"/>
      <c r="Q306" s="969"/>
    </row>
    <row r="307" spans="8:17" s="970" customFormat="1" x14ac:dyDescent="0.2">
      <c r="H307" s="1124"/>
      <c r="I307" s="1124"/>
      <c r="J307" s="1124"/>
      <c r="K307" s="969"/>
      <c r="L307" s="969"/>
      <c r="M307" s="969"/>
      <c r="N307" s="969"/>
      <c r="O307" s="969"/>
      <c r="P307" s="969"/>
      <c r="Q307" s="969"/>
    </row>
    <row r="308" spans="8:17" s="970" customFormat="1" x14ac:dyDescent="0.2">
      <c r="H308" s="1124"/>
      <c r="I308" s="1124"/>
      <c r="J308" s="1124"/>
      <c r="K308" s="969"/>
      <c r="L308" s="969"/>
      <c r="M308" s="969"/>
      <c r="N308" s="969"/>
      <c r="O308" s="969"/>
      <c r="P308" s="969"/>
      <c r="Q308" s="969"/>
    </row>
    <row r="309" spans="8:17" s="970" customFormat="1" x14ac:dyDescent="0.2">
      <c r="H309" s="1124"/>
      <c r="I309" s="1124"/>
      <c r="J309" s="1124"/>
      <c r="K309" s="969"/>
      <c r="L309" s="969"/>
      <c r="M309" s="969"/>
      <c r="N309" s="969"/>
      <c r="O309" s="969"/>
      <c r="P309" s="969"/>
      <c r="Q309" s="969"/>
    </row>
    <row r="310" spans="8:17" s="970" customFormat="1" x14ac:dyDescent="0.2">
      <c r="H310" s="1124"/>
      <c r="I310" s="1124"/>
      <c r="J310" s="1124"/>
      <c r="K310" s="969"/>
      <c r="L310" s="969"/>
      <c r="M310" s="969"/>
      <c r="N310" s="969"/>
      <c r="O310" s="969"/>
      <c r="P310" s="969"/>
      <c r="Q310" s="969"/>
    </row>
    <row r="311" spans="8:17" s="970" customFormat="1" x14ac:dyDescent="0.2">
      <c r="H311" s="1124"/>
      <c r="I311" s="1124"/>
      <c r="J311" s="1124"/>
      <c r="K311" s="969"/>
      <c r="L311" s="969"/>
      <c r="M311" s="969"/>
      <c r="N311" s="969"/>
      <c r="O311" s="969"/>
      <c r="P311" s="969"/>
      <c r="Q311" s="969"/>
    </row>
    <row r="312" spans="8:17" s="970" customFormat="1" x14ac:dyDescent="0.2">
      <c r="H312" s="1124"/>
      <c r="I312" s="1124"/>
      <c r="J312" s="1124"/>
      <c r="K312" s="969"/>
      <c r="L312" s="969"/>
      <c r="M312" s="969"/>
      <c r="N312" s="969"/>
      <c r="O312" s="969"/>
      <c r="P312" s="969"/>
      <c r="Q312" s="969"/>
    </row>
    <row r="313" spans="8:17" s="970" customFormat="1" x14ac:dyDescent="0.2">
      <c r="H313" s="1124"/>
      <c r="I313" s="1124"/>
      <c r="J313" s="1124"/>
      <c r="K313" s="969"/>
      <c r="L313" s="969"/>
      <c r="M313" s="969"/>
      <c r="N313" s="969"/>
      <c r="O313" s="969"/>
      <c r="P313" s="969"/>
      <c r="Q313" s="969"/>
    </row>
    <row r="314" spans="8:17" s="970" customFormat="1" x14ac:dyDescent="0.2">
      <c r="H314" s="1124"/>
      <c r="I314" s="1124"/>
      <c r="J314" s="1124"/>
      <c r="K314" s="969"/>
      <c r="L314" s="969"/>
      <c r="M314" s="969"/>
      <c r="N314" s="969"/>
      <c r="O314" s="969"/>
      <c r="P314" s="969"/>
      <c r="Q314" s="969"/>
    </row>
    <row r="315" spans="8:17" s="970" customFormat="1" x14ac:dyDescent="0.2">
      <c r="H315" s="1124"/>
      <c r="I315" s="1124"/>
      <c r="J315" s="1124"/>
      <c r="K315" s="969"/>
      <c r="L315" s="969"/>
      <c r="M315" s="969"/>
      <c r="N315" s="969"/>
      <c r="O315" s="969"/>
      <c r="P315" s="969"/>
      <c r="Q315" s="969"/>
    </row>
    <row r="316" spans="8:17" s="970" customFormat="1" x14ac:dyDescent="0.2">
      <c r="H316" s="1124"/>
      <c r="I316" s="1124"/>
      <c r="J316" s="1124"/>
      <c r="K316" s="969"/>
      <c r="L316" s="969"/>
      <c r="M316" s="969"/>
      <c r="N316" s="969"/>
      <c r="O316" s="969"/>
      <c r="P316" s="969"/>
      <c r="Q316" s="969"/>
    </row>
    <row r="317" spans="8:17" s="970" customFormat="1" x14ac:dyDescent="0.2">
      <c r="H317" s="1124"/>
      <c r="I317" s="1124"/>
      <c r="J317" s="1124"/>
      <c r="K317" s="969"/>
      <c r="L317" s="969"/>
      <c r="M317" s="969"/>
      <c r="N317" s="969"/>
      <c r="O317" s="969"/>
      <c r="P317" s="969"/>
      <c r="Q317" s="969"/>
    </row>
    <row r="318" spans="8:17" s="970" customFormat="1" x14ac:dyDescent="0.2">
      <c r="H318" s="1124"/>
      <c r="I318" s="1124"/>
      <c r="J318" s="1124"/>
      <c r="K318" s="969"/>
      <c r="L318" s="969"/>
      <c r="M318" s="969"/>
      <c r="N318" s="969"/>
      <c r="O318" s="969"/>
      <c r="P318" s="969"/>
      <c r="Q318" s="969"/>
    </row>
    <row r="319" spans="8:17" s="970" customFormat="1" x14ac:dyDescent="0.2">
      <c r="H319" s="1124"/>
      <c r="I319" s="1124"/>
      <c r="J319" s="1124"/>
      <c r="K319" s="969"/>
      <c r="L319" s="969"/>
      <c r="M319" s="969"/>
      <c r="N319" s="969"/>
      <c r="O319" s="969"/>
      <c r="P319" s="969"/>
      <c r="Q319" s="969"/>
    </row>
    <row r="320" spans="8:17" s="970" customFormat="1" x14ac:dyDescent="0.2">
      <c r="H320" s="1124"/>
      <c r="I320" s="1124"/>
      <c r="J320" s="1124"/>
      <c r="K320" s="969"/>
      <c r="L320" s="969"/>
      <c r="M320" s="969"/>
      <c r="N320" s="969"/>
      <c r="O320" s="969"/>
      <c r="P320" s="969"/>
      <c r="Q320" s="969"/>
    </row>
    <row r="321" spans="8:17" s="970" customFormat="1" x14ac:dyDescent="0.2">
      <c r="H321" s="1124"/>
      <c r="I321" s="1124"/>
      <c r="J321" s="1124"/>
      <c r="K321" s="969"/>
      <c r="L321" s="969"/>
      <c r="M321" s="969"/>
      <c r="N321" s="969"/>
      <c r="O321" s="969"/>
      <c r="P321" s="969"/>
      <c r="Q321" s="969"/>
    </row>
    <row r="322" spans="8:17" s="970" customFormat="1" x14ac:dyDescent="0.2">
      <c r="H322" s="1124"/>
      <c r="I322" s="1124"/>
      <c r="J322" s="1124"/>
      <c r="K322" s="969"/>
      <c r="L322" s="969"/>
      <c r="M322" s="969"/>
      <c r="N322" s="969"/>
      <c r="O322" s="969"/>
      <c r="P322" s="969"/>
      <c r="Q322" s="969"/>
    </row>
    <row r="323" spans="8:17" s="970" customFormat="1" x14ac:dyDescent="0.2">
      <c r="H323" s="1124"/>
      <c r="I323" s="1124"/>
      <c r="J323" s="1124"/>
      <c r="K323" s="969"/>
      <c r="L323" s="969"/>
      <c r="M323" s="969"/>
      <c r="N323" s="969"/>
      <c r="O323" s="969"/>
      <c r="P323" s="969"/>
      <c r="Q323" s="969"/>
    </row>
    <row r="324" spans="8:17" s="970" customFormat="1" x14ac:dyDescent="0.2">
      <c r="H324" s="1124"/>
      <c r="I324" s="1124"/>
      <c r="J324" s="1124"/>
      <c r="K324" s="969"/>
      <c r="L324" s="969"/>
      <c r="M324" s="969"/>
      <c r="N324" s="969"/>
      <c r="O324" s="969"/>
      <c r="P324" s="969"/>
      <c r="Q324" s="969"/>
    </row>
    <row r="325" spans="8:17" s="970" customFormat="1" x14ac:dyDescent="0.2">
      <c r="H325" s="1124"/>
      <c r="I325" s="1124"/>
      <c r="J325" s="1124"/>
      <c r="K325" s="969"/>
      <c r="L325" s="969"/>
      <c r="M325" s="969"/>
      <c r="N325" s="969"/>
      <c r="O325" s="969"/>
      <c r="P325" s="969"/>
      <c r="Q325" s="969"/>
    </row>
    <row r="326" spans="8:17" s="970" customFormat="1" x14ac:dyDescent="0.2">
      <c r="H326" s="1124"/>
      <c r="I326" s="1124"/>
      <c r="J326" s="1124"/>
      <c r="K326" s="969"/>
      <c r="L326" s="969"/>
      <c r="M326" s="969"/>
      <c r="N326" s="969"/>
      <c r="O326" s="969"/>
      <c r="P326" s="969"/>
      <c r="Q326" s="969"/>
    </row>
    <row r="327" spans="8:17" s="970" customFormat="1" x14ac:dyDescent="0.2">
      <c r="H327" s="1124"/>
      <c r="I327" s="1124"/>
      <c r="J327" s="1124"/>
      <c r="K327" s="969"/>
      <c r="L327" s="969"/>
      <c r="M327" s="969"/>
      <c r="N327" s="969"/>
      <c r="O327" s="969"/>
      <c r="P327" s="969"/>
      <c r="Q327" s="969"/>
    </row>
    <row r="328" spans="8:17" s="970" customFormat="1" x14ac:dyDescent="0.2">
      <c r="H328" s="1124"/>
      <c r="I328" s="1124"/>
      <c r="J328" s="1124"/>
      <c r="K328" s="969"/>
      <c r="L328" s="969"/>
      <c r="M328" s="969"/>
      <c r="N328" s="969"/>
      <c r="O328" s="969"/>
      <c r="P328" s="969"/>
      <c r="Q328" s="969"/>
    </row>
    <row r="329" spans="8:17" s="970" customFormat="1" x14ac:dyDescent="0.2">
      <c r="H329" s="1124"/>
      <c r="I329" s="1124"/>
      <c r="J329" s="1124"/>
      <c r="K329" s="969"/>
      <c r="L329" s="969"/>
      <c r="M329" s="969"/>
      <c r="N329" s="969"/>
      <c r="O329" s="969"/>
      <c r="P329" s="969"/>
      <c r="Q329" s="969"/>
    </row>
    <row r="330" spans="8:17" s="970" customFormat="1" x14ac:dyDescent="0.2">
      <c r="H330" s="1124"/>
      <c r="I330" s="1124"/>
      <c r="J330" s="1124"/>
      <c r="K330" s="969"/>
      <c r="L330" s="969"/>
      <c r="M330" s="969"/>
      <c r="N330" s="969"/>
      <c r="O330" s="969"/>
      <c r="P330" s="969"/>
      <c r="Q330" s="969"/>
    </row>
    <row r="331" spans="8:17" s="970" customFormat="1" x14ac:dyDescent="0.2">
      <c r="H331" s="1124"/>
      <c r="I331" s="1124"/>
      <c r="J331" s="1124"/>
      <c r="K331" s="969"/>
      <c r="L331" s="969"/>
      <c r="M331" s="969"/>
      <c r="N331" s="969"/>
      <c r="O331" s="969"/>
      <c r="P331" s="969"/>
      <c r="Q331" s="969"/>
    </row>
    <row r="332" spans="8:17" s="970" customFormat="1" x14ac:dyDescent="0.2">
      <c r="H332" s="1124"/>
      <c r="I332" s="1124"/>
      <c r="J332" s="1124"/>
      <c r="K332" s="969"/>
      <c r="L332" s="969"/>
      <c r="M332" s="969"/>
      <c r="N332" s="969"/>
      <c r="O332" s="969"/>
      <c r="P332" s="969"/>
      <c r="Q332" s="969"/>
    </row>
    <row r="333" spans="8:17" s="970" customFormat="1" x14ac:dyDescent="0.2">
      <c r="H333" s="1124"/>
      <c r="I333" s="1124"/>
      <c r="J333" s="1124"/>
      <c r="K333" s="969"/>
      <c r="L333" s="969"/>
      <c r="M333" s="969"/>
      <c r="N333" s="969"/>
      <c r="O333" s="969"/>
      <c r="P333" s="969"/>
      <c r="Q333" s="969"/>
    </row>
    <row r="334" spans="8:17" s="970" customFormat="1" x14ac:dyDescent="0.2">
      <c r="H334" s="1124"/>
      <c r="I334" s="1124"/>
      <c r="J334" s="1124"/>
      <c r="K334" s="969"/>
      <c r="L334" s="969"/>
      <c r="M334" s="969"/>
      <c r="N334" s="969"/>
      <c r="O334" s="969"/>
      <c r="P334" s="969"/>
      <c r="Q334" s="969"/>
    </row>
    <row r="335" spans="8:17" s="970" customFormat="1" x14ac:dyDescent="0.2">
      <c r="H335" s="1124"/>
      <c r="I335" s="1124"/>
      <c r="J335" s="1124"/>
      <c r="K335" s="969"/>
      <c r="L335" s="969"/>
      <c r="M335" s="969"/>
      <c r="N335" s="969"/>
      <c r="O335" s="969"/>
      <c r="P335" s="969"/>
      <c r="Q335" s="969"/>
    </row>
    <row r="336" spans="8:17" s="970" customFormat="1" x14ac:dyDescent="0.2">
      <c r="H336" s="1124"/>
      <c r="I336" s="1124"/>
      <c r="J336" s="1124"/>
      <c r="K336" s="969"/>
      <c r="L336" s="969"/>
      <c r="M336" s="969"/>
      <c r="N336" s="969"/>
      <c r="O336" s="969"/>
      <c r="P336" s="969"/>
      <c r="Q336" s="969"/>
    </row>
    <row r="337" spans="8:17" s="970" customFormat="1" x14ac:dyDescent="0.2">
      <c r="H337" s="1124"/>
      <c r="I337" s="1124"/>
      <c r="J337" s="1124"/>
      <c r="K337" s="969"/>
      <c r="L337" s="969"/>
      <c r="M337" s="969"/>
      <c r="N337" s="969"/>
      <c r="O337" s="969"/>
      <c r="P337" s="969"/>
      <c r="Q337" s="969"/>
    </row>
    <row r="338" spans="8:17" s="970" customFormat="1" x14ac:dyDescent="0.2">
      <c r="H338" s="1124"/>
      <c r="I338" s="1124"/>
      <c r="J338" s="1124"/>
      <c r="K338" s="969"/>
      <c r="L338" s="969"/>
      <c r="M338" s="969"/>
      <c r="N338" s="969"/>
      <c r="O338" s="969"/>
      <c r="P338" s="969"/>
      <c r="Q338" s="969"/>
    </row>
    <row r="339" spans="8:17" s="970" customFormat="1" x14ac:dyDescent="0.2">
      <c r="H339" s="1124"/>
      <c r="I339" s="1124"/>
      <c r="J339" s="1124"/>
      <c r="K339" s="969"/>
      <c r="L339" s="969"/>
      <c r="M339" s="969"/>
      <c r="N339" s="969"/>
      <c r="O339" s="969"/>
      <c r="P339" s="969"/>
      <c r="Q339" s="969"/>
    </row>
    <row r="340" spans="8:17" s="970" customFormat="1" x14ac:dyDescent="0.2">
      <c r="H340" s="1124"/>
      <c r="I340" s="1124"/>
      <c r="J340" s="1124"/>
      <c r="K340" s="969"/>
      <c r="L340" s="969"/>
      <c r="M340" s="969"/>
      <c r="N340" s="969"/>
      <c r="O340" s="969"/>
      <c r="P340" s="969"/>
      <c r="Q340" s="969"/>
    </row>
    <row r="341" spans="8:17" s="970" customFormat="1" x14ac:dyDescent="0.2">
      <c r="H341" s="1124"/>
      <c r="I341" s="1124"/>
      <c r="J341" s="1124"/>
      <c r="K341" s="969"/>
      <c r="L341" s="969"/>
      <c r="M341" s="969"/>
      <c r="N341" s="969"/>
      <c r="O341" s="969"/>
      <c r="P341" s="969"/>
      <c r="Q341" s="969"/>
    </row>
    <row r="342" spans="8:17" s="970" customFormat="1" x14ac:dyDescent="0.2">
      <c r="H342" s="1124"/>
      <c r="I342" s="1124"/>
      <c r="J342" s="1124"/>
      <c r="K342" s="969"/>
      <c r="L342" s="969"/>
      <c r="M342" s="969"/>
      <c r="N342" s="969"/>
      <c r="O342" s="969"/>
      <c r="P342" s="969"/>
      <c r="Q342" s="969"/>
    </row>
    <row r="343" spans="8:17" s="970" customFormat="1" x14ac:dyDescent="0.2">
      <c r="H343" s="1124"/>
      <c r="I343" s="1124"/>
      <c r="J343" s="1124"/>
      <c r="K343" s="969"/>
      <c r="L343" s="969"/>
      <c r="M343" s="969"/>
      <c r="N343" s="969"/>
      <c r="O343" s="969"/>
      <c r="P343" s="969"/>
      <c r="Q343" s="969"/>
    </row>
    <row r="344" spans="8:17" s="970" customFormat="1" x14ac:dyDescent="0.2">
      <c r="H344" s="1124"/>
      <c r="I344" s="1124"/>
      <c r="J344" s="1124"/>
      <c r="K344" s="969"/>
      <c r="L344" s="969"/>
      <c r="M344" s="969"/>
      <c r="N344" s="969"/>
      <c r="O344" s="969"/>
      <c r="P344" s="969"/>
      <c r="Q344" s="969"/>
    </row>
    <row r="345" spans="8:17" s="970" customFormat="1" x14ac:dyDescent="0.2">
      <c r="H345" s="1124"/>
      <c r="I345" s="1124"/>
      <c r="J345" s="1124"/>
      <c r="K345" s="969"/>
      <c r="L345" s="969"/>
      <c r="M345" s="969"/>
      <c r="N345" s="969"/>
      <c r="O345" s="969"/>
      <c r="P345" s="969"/>
      <c r="Q345" s="969"/>
    </row>
    <row r="346" spans="8:17" s="970" customFormat="1" x14ac:dyDescent="0.2">
      <c r="H346" s="1124"/>
      <c r="I346" s="1124"/>
      <c r="J346" s="1124"/>
      <c r="K346" s="969"/>
      <c r="L346" s="969"/>
      <c r="M346" s="969"/>
      <c r="N346" s="969"/>
      <c r="O346" s="969"/>
      <c r="P346" s="969"/>
      <c r="Q346" s="969"/>
    </row>
    <row r="347" spans="8:17" s="970" customFormat="1" x14ac:dyDescent="0.2">
      <c r="H347" s="1124"/>
      <c r="I347" s="1124"/>
      <c r="J347" s="1124"/>
      <c r="K347" s="969"/>
      <c r="L347" s="969"/>
      <c r="M347" s="969"/>
      <c r="N347" s="969"/>
      <c r="O347" s="969"/>
      <c r="P347" s="969"/>
      <c r="Q347" s="969"/>
    </row>
    <row r="348" spans="8:17" s="970" customFormat="1" x14ac:dyDescent="0.2">
      <c r="H348" s="1124"/>
      <c r="I348" s="1124"/>
      <c r="J348" s="1124"/>
      <c r="K348" s="969"/>
      <c r="L348" s="969"/>
      <c r="M348" s="969"/>
      <c r="N348" s="969"/>
      <c r="O348" s="969"/>
      <c r="P348" s="969"/>
      <c r="Q348" s="969"/>
    </row>
    <row r="349" spans="8:17" s="970" customFormat="1" x14ac:dyDescent="0.2">
      <c r="H349" s="1124"/>
      <c r="I349" s="1124"/>
      <c r="J349" s="1124"/>
      <c r="K349" s="969"/>
      <c r="L349" s="969"/>
      <c r="M349" s="969"/>
      <c r="N349" s="969"/>
      <c r="O349" s="969"/>
      <c r="P349" s="969"/>
      <c r="Q349" s="969"/>
    </row>
    <row r="350" spans="8:17" s="970" customFormat="1" x14ac:dyDescent="0.2">
      <c r="H350" s="1124"/>
      <c r="I350" s="1124"/>
      <c r="J350" s="1124"/>
      <c r="K350" s="969"/>
      <c r="L350" s="969"/>
      <c r="M350" s="969"/>
      <c r="N350" s="969"/>
      <c r="O350" s="969"/>
      <c r="P350" s="969"/>
      <c r="Q350" s="969"/>
    </row>
    <row r="351" spans="8:17" s="970" customFormat="1" x14ac:dyDescent="0.2">
      <c r="H351" s="1124"/>
      <c r="I351" s="1124"/>
      <c r="J351" s="1124"/>
      <c r="K351" s="969"/>
      <c r="L351" s="969"/>
      <c r="M351" s="969"/>
      <c r="N351" s="969"/>
      <c r="O351" s="969"/>
      <c r="P351" s="969"/>
      <c r="Q351" s="969"/>
    </row>
    <row r="352" spans="8:17" s="970" customFormat="1" x14ac:dyDescent="0.2">
      <c r="H352" s="1124"/>
      <c r="I352" s="1124"/>
      <c r="J352" s="1124"/>
      <c r="K352" s="969"/>
      <c r="L352" s="969"/>
      <c r="M352" s="969"/>
      <c r="N352" s="969"/>
      <c r="O352" s="969"/>
      <c r="P352" s="969"/>
      <c r="Q352" s="969"/>
    </row>
    <row r="353" spans="8:17" s="970" customFormat="1" x14ac:dyDescent="0.2">
      <c r="H353" s="1124"/>
      <c r="I353" s="1124"/>
      <c r="J353" s="1124"/>
      <c r="K353" s="969"/>
      <c r="L353" s="969"/>
      <c r="M353" s="969"/>
      <c r="N353" s="969"/>
      <c r="O353" s="969"/>
      <c r="P353" s="969"/>
      <c r="Q353" s="969"/>
    </row>
    <row r="354" spans="8:17" s="970" customFormat="1" x14ac:dyDescent="0.2">
      <c r="H354" s="1124"/>
      <c r="I354" s="1124"/>
      <c r="J354" s="1124"/>
      <c r="K354" s="969"/>
      <c r="L354" s="969"/>
      <c r="M354" s="969"/>
      <c r="N354" s="969"/>
      <c r="O354" s="969"/>
      <c r="P354" s="969"/>
      <c r="Q354" s="969"/>
    </row>
    <row r="355" spans="8:17" s="970" customFormat="1" x14ac:dyDescent="0.2">
      <c r="H355" s="1124"/>
      <c r="I355" s="1124"/>
      <c r="J355" s="1124"/>
      <c r="K355" s="969"/>
      <c r="L355" s="969"/>
      <c r="M355" s="969"/>
      <c r="N355" s="969"/>
      <c r="O355" s="969"/>
      <c r="P355" s="969"/>
      <c r="Q355" s="969"/>
    </row>
    <row r="356" spans="8:17" s="970" customFormat="1" x14ac:dyDescent="0.2">
      <c r="H356" s="1124"/>
      <c r="I356" s="1124"/>
      <c r="J356" s="1124"/>
      <c r="K356" s="969"/>
      <c r="L356" s="969"/>
      <c r="M356" s="969"/>
      <c r="N356" s="969"/>
      <c r="O356" s="969"/>
      <c r="P356" s="969"/>
      <c r="Q356" s="969"/>
    </row>
    <row r="357" spans="8:17" s="970" customFormat="1" x14ac:dyDescent="0.2">
      <c r="H357" s="1124"/>
      <c r="I357" s="1124"/>
      <c r="J357" s="1124"/>
      <c r="K357" s="969"/>
      <c r="L357" s="969"/>
      <c r="M357" s="969"/>
      <c r="N357" s="969"/>
      <c r="O357" s="969"/>
      <c r="P357" s="969"/>
      <c r="Q357" s="969"/>
    </row>
    <row r="358" spans="8:17" s="970" customFormat="1" x14ac:dyDescent="0.2">
      <c r="H358" s="1124"/>
      <c r="I358" s="1124"/>
      <c r="J358" s="1124"/>
      <c r="K358" s="969"/>
      <c r="L358" s="969"/>
      <c r="M358" s="969"/>
      <c r="N358" s="969"/>
      <c r="O358" s="969"/>
      <c r="P358" s="969"/>
      <c r="Q358" s="969"/>
    </row>
    <row r="359" spans="8:17" s="970" customFormat="1" x14ac:dyDescent="0.2">
      <c r="H359" s="1124"/>
      <c r="I359" s="1124"/>
      <c r="J359" s="1124"/>
      <c r="K359" s="969"/>
      <c r="L359" s="969"/>
      <c r="M359" s="969"/>
      <c r="N359" s="969"/>
      <c r="O359" s="969"/>
      <c r="P359" s="969"/>
      <c r="Q359" s="969"/>
    </row>
    <row r="360" spans="8:17" s="970" customFormat="1" x14ac:dyDescent="0.2">
      <c r="H360" s="1124"/>
      <c r="I360" s="1124"/>
      <c r="J360" s="1124"/>
      <c r="K360" s="969"/>
      <c r="L360" s="969"/>
      <c r="M360" s="969"/>
      <c r="N360" s="969"/>
      <c r="O360" s="969"/>
      <c r="P360" s="969"/>
      <c r="Q360" s="969"/>
    </row>
    <row r="361" spans="8:17" s="970" customFormat="1" x14ac:dyDescent="0.2">
      <c r="H361" s="1124"/>
      <c r="I361" s="1124"/>
      <c r="J361" s="1124"/>
      <c r="K361" s="969"/>
      <c r="L361" s="969"/>
      <c r="M361" s="969"/>
      <c r="N361" s="969"/>
      <c r="O361" s="969"/>
      <c r="P361" s="969"/>
      <c r="Q361" s="969"/>
    </row>
    <row r="362" spans="8:17" s="970" customFormat="1" x14ac:dyDescent="0.2">
      <c r="H362" s="1124"/>
      <c r="I362" s="1124"/>
      <c r="J362" s="1124"/>
      <c r="K362" s="969"/>
      <c r="L362" s="969"/>
      <c r="M362" s="969"/>
      <c r="N362" s="969"/>
      <c r="O362" s="969"/>
      <c r="P362" s="969"/>
      <c r="Q362" s="969"/>
    </row>
    <row r="363" spans="8:17" s="970" customFormat="1" x14ac:dyDescent="0.2">
      <c r="H363" s="1124"/>
      <c r="I363" s="1124"/>
      <c r="J363" s="1124"/>
      <c r="K363" s="969"/>
      <c r="L363" s="969"/>
      <c r="M363" s="969"/>
      <c r="N363" s="969"/>
      <c r="O363" s="969"/>
      <c r="P363" s="969"/>
      <c r="Q363" s="969"/>
    </row>
    <row r="364" spans="8:17" s="970" customFormat="1" x14ac:dyDescent="0.2">
      <c r="H364" s="1124"/>
      <c r="I364" s="1124"/>
      <c r="J364" s="1124"/>
      <c r="K364" s="969"/>
      <c r="L364" s="969"/>
      <c r="M364" s="969"/>
      <c r="N364" s="969"/>
      <c r="O364" s="969"/>
      <c r="P364" s="969"/>
      <c r="Q364" s="969"/>
    </row>
    <row r="365" spans="8:17" s="970" customFormat="1" x14ac:dyDescent="0.2">
      <c r="H365" s="1124"/>
      <c r="I365" s="1124"/>
      <c r="J365" s="1124"/>
      <c r="K365" s="969"/>
      <c r="L365" s="969"/>
      <c r="M365" s="969"/>
      <c r="N365" s="969"/>
      <c r="O365" s="969"/>
      <c r="P365" s="969"/>
      <c r="Q365" s="969"/>
    </row>
    <row r="366" spans="8:17" s="970" customFormat="1" x14ac:dyDescent="0.2">
      <c r="H366" s="1124"/>
      <c r="I366" s="1124"/>
      <c r="J366" s="1124"/>
      <c r="K366" s="969"/>
      <c r="L366" s="969"/>
      <c r="M366" s="969"/>
      <c r="N366" s="969"/>
      <c r="O366" s="969"/>
      <c r="P366" s="969"/>
      <c r="Q366" s="969"/>
    </row>
    <row r="367" spans="8:17" s="970" customFormat="1" x14ac:dyDescent="0.2">
      <c r="H367" s="1124"/>
      <c r="I367" s="1124"/>
      <c r="J367" s="1124"/>
      <c r="K367" s="969"/>
      <c r="L367" s="969"/>
      <c r="M367" s="969"/>
      <c r="N367" s="969"/>
      <c r="O367" s="969"/>
      <c r="P367" s="969"/>
      <c r="Q367" s="969"/>
    </row>
    <row r="368" spans="8:17" s="970" customFormat="1" x14ac:dyDescent="0.2">
      <c r="H368" s="1124"/>
      <c r="I368" s="1124"/>
      <c r="J368" s="1124"/>
      <c r="K368" s="969"/>
      <c r="L368" s="969"/>
      <c r="M368" s="969"/>
      <c r="N368" s="969"/>
      <c r="O368" s="969"/>
      <c r="P368" s="969"/>
      <c r="Q368" s="969"/>
    </row>
    <row r="369" spans="8:17" s="970" customFormat="1" x14ac:dyDescent="0.2">
      <c r="H369" s="1124"/>
      <c r="I369" s="1124"/>
      <c r="J369" s="1124"/>
      <c r="K369" s="969"/>
      <c r="L369" s="969"/>
      <c r="M369" s="969"/>
      <c r="N369" s="969"/>
      <c r="O369" s="969"/>
      <c r="P369" s="969"/>
      <c r="Q369" s="969"/>
    </row>
    <row r="370" spans="8:17" s="970" customFormat="1" x14ac:dyDescent="0.2">
      <c r="H370" s="1124"/>
      <c r="I370" s="1124"/>
      <c r="J370" s="1124"/>
      <c r="K370" s="969"/>
      <c r="L370" s="969"/>
      <c r="M370" s="969"/>
      <c r="N370" s="969"/>
      <c r="O370" s="969"/>
      <c r="P370" s="969"/>
      <c r="Q370" s="969"/>
    </row>
    <row r="371" spans="8:17" s="970" customFormat="1" x14ac:dyDescent="0.2">
      <c r="H371" s="1124"/>
      <c r="I371" s="1124"/>
      <c r="J371" s="1124"/>
      <c r="K371" s="969"/>
      <c r="L371" s="969"/>
      <c r="M371" s="969"/>
      <c r="N371" s="969"/>
      <c r="O371" s="969"/>
      <c r="P371" s="969"/>
      <c r="Q371" s="969"/>
    </row>
    <row r="372" spans="8:17" s="970" customFormat="1" x14ac:dyDescent="0.2">
      <c r="H372" s="1124"/>
      <c r="I372" s="1124"/>
      <c r="J372" s="1124"/>
      <c r="K372" s="969"/>
      <c r="L372" s="969"/>
      <c r="M372" s="969"/>
      <c r="N372" s="969"/>
      <c r="O372" s="969"/>
      <c r="P372" s="969"/>
      <c r="Q372" s="969"/>
    </row>
    <row r="373" spans="8:17" s="970" customFormat="1" x14ac:dyDescent="0.2">
      <c r="H373" s="1124"/>
      <c r="I373" s="1124"/>
      <c r="J373" s="1124"/>
      <c r="K373" s="969"/>
      <c r="L373" s="969"/>
      <c r="M373" s="969"/>
      <c r="N373" s="969"/>
      <c r="O373" s="969"/>
      <c r="P373" s="969"/>
      <c r="Q373" s="969"/>
    </row>
    <row r="374" spans="8:17" s="970" customFormat="1" x14ac:dyDescent="0.2">
      <c r="H374" s="1124"/>
      <c r="I374" s="1124"/>
      <c r="J374" s="1124"/>
      <c r="K374" s="969"/>
      <c r="L374" s="969"/>
      <c r="M374" s="969"/>
      <c r="N374" s="969"/>
      <c r="O374" s="969"/>
      <c r="P374" s="969"/>
      <c r="Q374" s="969"/>
    </row>
    <row r="375" spans="8:17" s="970" customFormat="1" x14ac:dyDescent="0.2">
      <c r="H375" s="1124"/>
      <c r="I375" s="1124"/>
      <c r="J375" s="1124"/>
      <c r="K375" s="969"/>
      <c r="L375" s="969"/>
      <c r="M375" s="969"/>
      <c r="N375" s="969"/>
      <c r="O375" s="969"/>
      <c r="P375" s="969"/>
      <c r="Q375" s="969"/>
    </row>
    <row r="376" spans="8:17" s="970" customFormat="1" x14ac:dyDescent="0.2">
      <c r="H376" s="1124"/>
      <c r="I376" s="1124"/>
      <c r="J376" s="1124"/>
      <c r="K376" s="969"/>
      <c r="L376" s="969"/>
      <c r="M376" s="969"/>
      <c r="N376" s="969"/>
      <c r="O376" s="969"/>
      <c r="P376" s="969"/>
      <c r="Q376" s="969"/>
    </row>
    <row r="377" spans="8:17" s="970" customFormat="1" x14ac:dyDescent="0.2">
      <c r="H377" s="1124"/>
      <c r="I377" s="1124"/>
      <c r="J377" s="1124"/>
      <c r="K377" s="969"/>
      <c r="L377" s="969"/>
      <c r="M377" s="969"/>
      <c r="N377" s="969"/>
      <c r="O377" s="969"/>
      <c r="P377" s="969"/>
      <c r="Q377" s="969"/>
    </row>
    <row r="378" spans="8:17" s="970" customFormat="1" x14ac:dyDescent="0.2">
      <c r="H378" s="1124"/>
      <c r="I378" s="1124"/>
      <c r="J378" s="1124"/>
      <c r="K378" s="969"/>
      <c r="L378" s="969"/>
      <c r="M378" s="969"/>
      <c r="N378" s="969"/>
      <c r="O378" s="969"/>
      <c r="P378" s="969"/>
      <c r="Q378" s="969"/>
    </row>
    <row r="379" spans="8:17" s="970" customFormat="1" x14ac:dyDescent="0.2">
      <c r="H379" s="1124"/>
      <c r="I379" s="1124"/>
      <c r="J379" s="1124"/>
      <c r="K379" s="969"/>
      <c r="L379" s="969"/>
      <c r="M379" s="969"/>
      <c r="N379" s="969"/>
      <c r="O379" s="969"/>
      <c r="P379" s="969"/>
      <c r="Q379" s="969"/>
    </row>
    <row r="380" spans="8:17" s="970" customFormat="1" x14ac:dyDescent="0.2">
      <c r="H380" s="1124"/>
      <c r="I380" s="1124"/>
      <c r="J380" s="1124"/>
      <c r="K380" s="969"/>
      <c r="L380" s="969"/>
      <c r="M380" s="969"/>
      <c r="N380" s="969"/>
      <c r="O380" s="969"/>
      <c r="P380" s="969"/>
      <c r="Q380" s="969"/>
    </row>
    <row r="381" spans="8:17" s="970" customFormat="1" x14ac:dyDescent="0.2">
      <c r="H381" s="1124"/>
      <c r="I381" s="1124"/>
      <c r="J381" s="1124"/>
      <c r="K381" s="969"/>
      <c r="L381" s="969"/>
      <c r="M381" s="969"/>
      <c r="N381" s="969"/>
      <c r="O381" s="969"/>
      <c r="P381" s="969"/>
      <c r="Q381" s="969"/>
    </row>
    <row r="382" spans="8:17" s="970" customFormat="1" x14ac:dyDescent="0.2">
      <c r="H382" s="1124"/>
      <c r="I382" s="1124"/>
      <c r="J382" s="1124"/>
      <c r="K382" s="969"/>
      <c r="L382" s="969"/>
      <c r="M382" s="969"/>
      <c r="N382" s="969"/>
      <c r="O382" s="969"/>
      <c r="P382" s="969"/>
      <c r="Q382" s="969"/>
    </row>
    <row r="383" spans="8:17" s="970" customFormat="1" x14ac:dyDescent="0.2">
      <c r="H383" s="1124"/>
      <c r="I383" s="1124"/>
      <c r="J383" s="1124"/>
      <c r="K383" s="969"/>
      <c r="L383" s="969"/>
      <c r="M383" s="969"/>
      <c r="N383" s="969"/>
      <c r="O383" s="969"/>
      <c r="P383" s="969"/>
      <c r="Q383" s="969"/>
    </row>
    <row r="384" spans="8:17" s="970" customFormat="1" x14ac:dyDescent="0.2">
      <c r="H384" s="1124"/>
      <c r="I384" s="1124"/>
      <c r="J384" s="1124"/>
      <c r="K384" s="969"/>
      <c r="L384" s="969"/>
      <c r="M384" s="969"/>
      <c r="N384" s="969"/>
      <c r="O384" s="969"/>
      <c r="P384" s="969"/>
      <c r="Q384" s="969"/>
    </row>
    <row r="385" spans="8:17" s="970" customFormat="1" x14ac:dyDescent="0.2">
      <c r="H385" s="1124"/>
      <c r="I385" s="1124"/>
      <c r="J385" s="1124"/>
      <c r="K385" s="969"/>
      <c r="L385" s="969"/>
      <c r="M385" s="969"/>
      <c r="N385" s="969"/>
      <c r="O385" s="969"/>
      <c r="P385" s="969"/>
      <c r="Q385" s="969"/>
    </row>
    <row r="386" spans="8:17" s="970" customFormat="1" x14ac:dyDescent="0.2">
      <c r="H386" s="1124"/>
      <c r="I386" s="1124"/>
      <c r="J386" s="1124"/>
      <c r="K386" s="969"/>
      <c r="L386" s="969"/>
      <c r="M386" s="969"/>
      <c r="N386" s="969"/>
      <c r="O386" s="969"/>
      <c r="P386" s="969"/>
      <c r="Q386" s="969"/>
    </row>
    <row r="387" spans="8:17" s="970" customFormat="1" x14ac:dyDescent="0.2">
      <c r="H387" s="1124"/>
      <c r="I387" s="1124"/>
      <c r="J387" s="1124"/>
      <c r="K387" s="969"/>
      <c r="L387" s="969"/>
      <c r="M387" s="969"/>
      <c r="N387" s="969"/>
      <c r="O387" s="969"/>
      <c r="P387" s="969"/>
      <c r="Q387" s="969"/>
    </row>
    <row r="388" spans="8:17" s="970" customFormat="1" x14ac:dyDescent="0.2">
      <c r="H388" s="1124"/>
      <c r="I388" s="1124"/>
      <c r="J388" s="1124"/>
      <c r="K388" s="969"/>
      <c r="L388" s="969"/>
      <c r="M388" s="969"/>
      <c r="N388" s="969"/>
      <c r="O388" s="969"/>
      <c r="P388" s="969"/>
      <c r="Q388" s="969"/>
    </row>
    <row r="389" spans="8:17" s="970" customFormat="1" x14ac:dyDescent="0.2">
      <c r="H389" s="1124"/>
      <c r="I389" s="1124"/>
      <c r="J389" s="1124"/>
      <c r="K389" s="969"/>
      <c r="L389" s="969"/>
      <c r="M389" s="969"/>
      <c r="N389" s="969"/>
      <c r="O389" s="969"/>
      <c r="P389" s="969"/>
      <c r="Q389" s="969"/>
    </row>
    <row r="390" spans="8:17" s="970" customFormat="1" x14ac:dyDescent="0.2">
      <c r="H390" s="1124"/>
      <c r="I390" s="1124"/>
      <c r="J390" s="1124"/>
      <c r="K390" s="969"/>
      <c r="L390" s="969"/>
      <c r="M390" s="969"/>
      <c r="N390" s="969"/>
      <c r="O390" s="969"/>
      <c r="P390" s="969"/>
      <c r="Q390" s="969"/>
    </row>
    <row r="391" spans="8:17" s="970" customFormat="1" x14ac:dyDescent="0.2">
      <c r="H391" s="1124"/>
      <c r="I391" s="1124"/>
      <c r="J391" s="1124"/>
      <c r="K391" s="969"/>
      <c r="L391" s="969"/>
      <c r="M391" s="969"/>
      <c r="N391" s="969"/>
      <c r="O391" s="969"/>
      <c r="P391" s="969"/>
      <c r="Q391" s="969"/>
    </row>
    <row r="392" spans="8:17" s="970" customFormat="1" x14ac:dyDescent="0.2">
      <c r="H392" s="1124"/>
      <c r="I392" s="1124"/>
      <c r="J392" s="1124"/>
      <c r="K392" s="969"/>
      <c r="L392" s="969"/>
      <c r="M392" s="969"/>
      <c r="N392" s="969"/>
      <c r="O392" s="969"/>
      <c r="P392" s="969"/>
      <c r="Q392" s="969"/>
    </row>
    <row r="393" spans="8:17" s="970" customFormat="1" x14ac:dyDescent="0.2">
      <c r="H393" s="1124"/>
      <c r="I393" s="1124"/>
      <c r="J393" s="1124"/>
      <c r="K393" s="969"/>
      <c r="L393" s="969"/>
      <c r="M393" s="969"/>
      <c r="N393" s="969"/>
      <c r="O393" s="969"/>
      <c r="P393" s="969"/>
      <c r="Q393" s="969"/>
    </row>
    <row r="394" spans="8:17" s="970" customFormat="1" x14ac:dyDescent="0.2">
      <c r="H394" s="1124"/>
      <c r="I394" s="1124"/>
      <c r="J394" s="1124"/>
      <c r="K394" s="969"/>
      <c r="L394" s="969"/>
      <c r="M394" s="969"/>
      <c r="N394" s="969"/>
      <c r="O394" s="969"/>
      <c r="P394" s="969"/>
      <c r="Q394" s="969"/>
    </row>
    <row r="395" spans="8:17" s="970" customFormat="1" x14ac:dyDescent="0.2">
      <c r="H395" s="1124"/>
      <c r="I395" s="1124"/>
      <c r="J395" s="1124"/>
      <c r="K395" s="969"/>
      <c r="L395" s="969"/>
      <c r="M395" s="969"/>
      <c r="N395" s="969"/>
      <c r="O395" s="969"/>
      <c r="P395" s="969"/>
      <c r="Q395" s="969"/>
    </row>
    <row r="396" spans="8:17" s="970" customFormat="1" x14ac:dyDescent="0.2">
      <c r="H396" s="1124"/>
      <c r="I396" s="1124"/>
      <c r="J396" s="1124"/>
      <c r="K396" s="969"/>
      <c r="L396" s="969"/>
      <c r="M396" s="969"/>
      <c r="N396" s="969"/>
      <c r="O396" s="969"/>
      <c r="P396" s="969"/>
      <c r="Q396" s="969"/>
    </row>
    <row r="397" spans="8:17" s="970" customFormat="1" x14ac:dyDescent="0.2">
      <c r="H397" s="1124"/>
      <c r="I397" s="1124"/>
      <c r="J397" s="1124"/>
      <c r="K397" s="969"/>
      <c r="L397" s="969"/>
      <c r="M397" s="969"/>
      <c r="N397" s="969"/>
      <c r="O397" s="969"/>
      <c r="P397" s="969"/>
      <c r="Q397" s="969"/>
    </row>
    <row r="398" spans="8:17" s="970" customFormat="1" x14ac:dyDescent="0.2">
      <c r="H398" s="1124"/>
      <c r="I398" s="1124"/>
      <c r="J398" s="1124"/>
      <c r="K398" s="969"/>
      <c r="L398" s="969"/>
      <c r="M398" s="969"/>
      <c r="N398" s="969"/>
      <c r="O398" s="969"/>
      <c r="P398" s="969"/>
      <c r="Q398" s="969"/>
    </row>
    <row r="399" spans="8:17" s="970" customFormat="1" x14ac:dyDescent="0.2">
      <c r="H399" s="1124"/>
      <c r="I399" s="1124"/>
      <c r="J399" s="1124"/>
      <c r="K399" s="969"/>
      <c r="L399" s="969"/>
      <c r="M399" s="969"/>
      <c r="N399" s="969"/>
      <c r="O399" s="969"/>
      <c r="P399" s="969"/>
      <c r="Q399" s="969"/>
    </row>
    <row r="400" spans="8:17" s="970" customFormat="1" x14ac:dyDescent="0.2">
      <c r="H400" s="1124"/>
      <c r="I400" s="1124"/>
      <c r="J400" s="1124"/>
      <c r="K400" s="969"/>
      <c r="L400" s="969"/>
      <c r="M400" s="969"/>
      <c r="N400" s="969"/>
      <c r="O400" s="969"/>
      <c r="P400" s="969"/>
      <c r="Q400" s="969"/>
    </row>
    <row r="401" spans="8:17" s="970" customFormat="1" x14ac:dyDescent="0.2">
      <c r="H401" s="1124"/>
      <c r="I401" s="1124"/>
      <c r="J401" s="1124"/>
      <c r="K401" s="969"/>
      <c r="L401" s="969"/>
      <c r="M401" s="969"/>
      <c r="N401" s="969"/>
      <c r="O401" s="969"/>
      <c r="P401" s="969"/>
      <c r="Q401" s="969"/>
    </row>
    <row r="402" spans="8:17" s="970" customFormat="1" x14ac:dyDescent="0.2">
      <c r="H402" s="1124"/>
      <c r="I402" s="1124"/>
      <c r="J402" s="1124"/>
      <c r="K402" s="969"/>
      <c r="L402" s="969"/>
      <c r="M402" s="969"/>
      <c r="N402" s="969"/>
      <c r="O402" s="969"/>
      <c r="P402" s="969"/>
      <c r="Q402" s="969"/>
    </row>
    <row r="403" spans="8:17" s="970" customFormat="1" x14ac:dyDescent="0.2">
      <c r="H403" s="1124"/>
      <c r="I403" s="1124"/>
      <c r="J403" s="1124"/>
      <c r="K403" s="969"/>
      <c r="L403" s="969"/>
      <c r="M403" s="969"/>
      <c r="N403" s="969"/>
      <c r="O403" s="969"/>
      <c r="P403" s="969"/>
      <c r="Q403" s="969"/>
    </row>
    <row r="404" spans="8:17" s="970" customFormat="1" x14ac:dyDescent="0.2">
      <c r="H404" s="1124"/>
      <c r="I404" s="1124"/>
      <c r="J404" s="1124"/>
      <c r="K404" s="969"/>
      <c r="L404" s="969"/>
      <c r="M404" s="969"/>
      <c r="N404" s="969"/>
      <c r="O404" s="969"/>
      <c r="P404" s="969"/>
      <c r="Q404" s="969"/>
    </row>
    <row r="405" spans="8:17" s="970" customFormat="1" x14ac:dyDescent="0.2">
      <c r="H405" s="1124"/>
      <c r="I405" s="1124"/>
      <c r="J405" s="1124"/>
      <c r="K405" s="969"/>
      <c r="L405" s="969"/>
      <c r="M405" s="969"/>
      <c r="N405" s="969"/>
      <c r="O405" s="969"/>
      <c r="P405" s="969"/>
      <c r="Q405" s="969"/>
    </row>
    <row r="406" spans="8:17" s="970" customFormat="1" x14ac:dyDescent="0.2">
      <c r="H406" s="1124"/>
      <c r="I406" s="1124"/>
      <c r="J406" s="1124"/>
      <c r="K406" s="969"/>
      <c r="L406" s="969"/>
      <c r="M406" s="969"/>
      <c r="N406" s="969"/>
      <c r="O406" s="969"/>
      <c r="P406" s="969"/>
      <c r="Q406" s="969"/>
    </row>
    <row r="407" spans="8:17" s="970" customFormat="1" x14ac:dyDescent="0.2">
      <c r="H407" s="1124"/>
      <c r="I407" s="1124"/>
      <c r="J407" s="1124"/>
      <c r="K407" s="969"/>
      <c r="L407" s="969"/>
      <c r="M407" s="969"/>
      <c r="N407" s="969"/>
      <c r="O407" s="969"/>
      <c r="P407" s="969"/>
      <c r="Q407" s="969"/>
    </row>
    <row r="408" spans="8:17" s="970" customFormat="1" x14ac:dyDescent="0.2">
      <c r="H408" s="1124"/>
      <c r="I408" s="1124"/>
      <c r="J408" s="1124"/>
      <c r="K408" s="969"/>
      <c r="L408" s="969"/>
      <c r="M408" s="969"/>
      <c r="N408" s="969"/>
      <c r="O408" s="969"/>
      <c r="P408" s="969"/>
      <c r="Q408" s="969"/>
    </row>
    <row r="409" spans="8:17" s="970" customFormat="1" x14ac:dyDescent="0.2">
      <c r="H409" s="1124"/>
      <c r="I409" s="1124"/>
      <c r="J409" s="1124"/>
      <c r="K409" s="969"/>
      <c r="L409" s="969"/>
      <c r="M409" s="969"/>
      <c r="N409" s="969"/>
      <c r="O409" s="969"/>
      <c r="P409" s="969"/>
      <c r="Q409" s="969"/>
    </row>
    <row r="410" spans="8:17" s="970" customFormat="1" x14ac:dyDescent="0.2">
      <c r="H410" s="1124"/>
      <c r="I410" s="1124"/>
      <c r="J410" s="1124"/>
      <c r="K410" s="969"/>
      <c r="L410" s="969"/>
      <c r="M410" s="969"/>
      <c r="N410" s="969"/>
      <c r="O410" s="969"/>
      <c r="P410" s="969"/>
      <c r="Q410" s="969"/>
    </row>
    <row r="411" spans="8:17" s="970" customFormat="1" x14ac:dyDescent="0.2">
      <c r="H411" s="1124"/>
      <c r="I411" s="1124"/>
      <c r="J411" s="1124"/>
      <c r="K411" s="969"/>
      <c r="L411" s="969"/>
      <c r="M411" s="969"/>
      <c r="N411" s="969"/>
      <c r="O411" s="969"/>
      <c r="P411" s="969"/>
      <c r="Q411" s="969"/>
    </row>
    <row r="412" spans="8:17" s="970" customFormat="1" x14ac:dyDescent="0.2">
      <c r="H412" s="1124"/>
      <c r="I412" s="1124"/>
      <c r="J412" s="1124"/>
      <c r="K412" s="969"/>
      <c r="L412" s="969"/>
      <c r="M412" s="969"/>
      <c r="N412" s="969"/>
      <c r="O412" s="969"/>
      <c r="P412" s="969"/>
      <c r="Q412" s="969"/>
    </row>
    <row r="413" spans="8:17" s="970" customFormat="1" x14ac:dyDescent="0.2">
      <c r="H413" s="1124"/>
      <c r="I413" s="1124"/>
      <c r="J413" s="1124"/>
      <c r="K413" s="969"/>
      <c r="L413" s="969"/>
      <c r="M413" s="969"/>
      <c r="N413" s="969"/>
      <c r="O413" s="969"/>
      <c r="P413" s="969"/>
      <c r="Q413" s="969"/>
    </row>
    <row r="414" spans="8:17" s="970" customFormat="1" x14ac:dyDescent="0.2">
      <c r="H414" s="1124"/>
      <c r="I414" s="1124"/>
      <c r="J414" s="1124"/>
      <c r="K414" s="969"/>
      <c r="L414" s="969"/>
      <c r="M414" s="969"/>
      <c r="N414" s="969"/>
      <c r="O414" s="969"/>
      <c r="P414" s="969"/>
      <c r="Q414" s="969"/>
    </row>
    <row r="415" spans="8:17" s="970" customFormat="1" x14ac:dyDescent="0.2">
      <c r="H415" s="1124"/>
      <c r="I415" s="1124"/>
      <c r="J415" s="1124"/>
      <c r="K415" s="969"/>
      <c r="L415" s="969"/>
      <c r="M415" s="969"/>
      <c r="N415" s="969"/>
      <c r="O415" s="969"/>
      <c r="P415" s="969"/>
      <c r="Q415" s="969"/>
    </row>
    <row r="416" spans="8:17" s="970" customFormat="1" x14ac:dyDescent="0.2">
      <c r="H416" s="1124"/>
      <c r="I416" s="1124"/>
      <c r="J416" s="1124"/>
      <c r="K416" s="969"/>
      <c r="L416" s="969"/>
      <c r="M416" s="969"/>
      <c r="N416" s="969"/>
      <c r="O416" s="969"/>
      <c r="P416" s="969"/>
      <c r="Q416" s="969"/>
    </row>
    <row r="417" spans="8:17" s="970" customFormat="1" x14ac:dyDescent="0.2">
      <c r="H417" s="1124"/>
      <c r="I417" s="1124"/>
      <c r="J417" s="1124"/>
      <c r="K417" s="969"/>
      <c r="L417" s="969"/>
      <c r="M417" s="969"/>
      <c r="N417" s="969"/>
      <c r="O417" s="969"/>
      <c r="P417" s="969"/>
      <c r="Q417" s="969"/>
    </row>
    <row r="418" spans="8:17" s="970" customFormat="1" x14ac:dyDescent="0.2">
      <c r="H418" s="1124"/>
      <c r="I418" s="1124"/>
      <c r="J418" s="1124"/>
      <c r="K418" s="969"/>
      <c r="L418" s="969"/>
      <c r="M418" s="969"/>
      <c r="N418" s="969"/>
      <c r="O418" s="969"/>
      <c r="P418" s="969"/>
      <c r="Q418" s="969"/>
    </row>
    <row r="419" spans="8:17" s="970" customFormat="1" x14ac:dyDescent="0.2">
      <c r="H419" s="1124"/>
      <c r="I419" s="1124"/>
      <c r="J419" s="1124"/>
      <c r="K419" s="969"/>
      <c r="L419" s="969"/>
      <c r="M419" s="969"/>
      <c r="N419" s="969"/>
      <c r="O419" s="969"/>
      <c r="P419" s="969"/>
      <c r="Q419" s="969"/>
    </row>
    <row r="420" spans="8:17" s="970" customFormat="1" x14ac:dyDescent="0.2">
      <c r="H420" s="1124"/>
      <c r="I420" s="1124"/>
      <c r="J420" s="1124"/>
      <c r="K420" s="969"/>
      <c r="L420" s="969"/>
      <c r="M420" s="969"/>
      <c r="N420" s="969"/>
      <c r="O420" s="969"/>
      <c r="P420" s="969"/>
      <c r="Q420" s="969"/>
    </row>
    <row r="421" spans="8:17" s="970" customFormat="1" x14ac:dyDescent="0.2">
      <c r="H421" s="1124"/>
      <c r="I421" s="1124"/>
      <c r="J421" s="1124"/>
      <c r="K421" s="969"/>
      <c r="L421" s="969"/>
      <c r="M421" s="969"/>
      <c r="N421" s="969"/>
      <c r="O421" s="969"/>
      <c r="P421" s="969"/>
      <c r="Q421" s="969"/>
    </row>
    <row r="422" spans="8:17" s="970" customFormat="1" x14ac:dyDescent="0.2">
      <c r="H422" s="1124"/>
      <c r="I422" s="1124"/>
      <c r="J422" s="1124"/>
      <c r="K422" s="969"/>
      <c r="L422" s="969"/>
      <c r="M422" s="969"/>
      <c r="N422" s="969"/>
      <c r="O422" s="969"/>
      <c r="P422" s="969"/>
      <c r="Q422" s="969"/>
    </row>
    <row r="423" spans="8:17" s="970" customFormat="1" x14ac:dyDescent="0.2">
      <c r="H423" s="1124"/>
      <c r="I423" s="1124"/>
      <c r="J423" s="1124"/>
      <c r="K423" s="969"/>
      <c r="L423" s="969"/>
      <c r="M423" s="969"/>
      <c r="N423" s="969"/>
      <c r="O423" s="969"/>
      <c r="P423" s="969"/>
      <c r="Q423" s="969"/>
    </row>
    <row r="424" spans="8:17" s="970" customFormat="1" x14ac:dyDescent="0.2">
      <c r="H424" s="1124"/>
      <c r="I424" s="1124"/>
      <c r="J424" s="1124"/>
      <c r="K424" s="969"/>
      <c r="L424" s="969"/>
      <c r="M424" s="969"/>
      <c r="N424" s="969"/>
      <c r="O424" s="969"/>
      <c r="P424" s="969"/>
      <c r="Q424" s="969"/>
    </row>
    <row r="425" spans="8:17" s="970" customFormat="1" x14ac:dyDescent="0.2">
      <c r="H425" s="1124"/>
      <c r="I425" s="1124"/>
      <c r="J425" s="1124"/>
      <c r="K425" s="969"/>
      <c r="L425" s="969"/>
      <c r="M425" s="969"/>
      <c r="N425" s="969"/>
      <c r="O425" s="969"/>
      <c r="P425" s="969"/>
      <c r="Q425" s="969"/>
    </row>
    <row r="426" spans="8:17" s="970" customFormat="1" x14ac:dyDescent="0.2">
      <c r="H426" s="1124"/>
      <c r="I426" s="1124"/>
      <c r="J426" s="1124"/>
      <c r="K426" s="969"/>
      <c r="L426" s="969"/>
      <c r="M426" s="969"/>
      <c r="N426" s="969"/>
      <c r="O426" s="969"/>
      <c r="P426" s="969"/>
      <c r="Q426" s="969"/>
    </row>
    <row r="427" spans="8:17" s="970" customFormat="1" x14ac:dyDescent="0.2">
      <c r="H427" s="1124"/>
      <c r="I427" s="1124"/>
      <c r="J427" s="1124"/>
      <c r="K427" s="969"/>
      <c r="L427" s="969"/>
      <c r="M427" s="969"/>
      <c r="N427" s="969"/>
      <c r="O427" s="969"/>
      <c r="P427" s="969"/>
      <c r="Q427" s="969"/>
    </row>
    <row r="428" spans="8:17" s="970" customFormat="1" x14ac:dyDescent="0.2">
      <c r="H428" s="1124"/>
      <c r="I428" s="1124"/>
      <c r="J428" s="1124"/>
      <c r="K428" s="969"/>
      <c r="L428" s="969"/>
      <c r="M428" s="969"/>
      <c r="N428" s="969"/>
      <c r="O428" s="969"/>
      <c r="P428" s="969"/>
      <c r="Q428" s="969"/>
    </row>
    <row r="429" spans="8:17" s="970" customFormat="1" x14ac:dyDescent="0.2">
      <c r="H429" s="1124"/>
      <c r="I429" s="1124"/>
      <c r="J429" s="1124"/>
      <c r="K429" s="969"/>
      <c r="L429" s="969"/>
      <c r="M429" s="969"/>
      <c r="N429" s="969"/>
      <c r="O429" s="969"/>
      <c r="P429" s="969"/>
      <c r="Q429" s="969"/>
    </row>
    <row r="430" spans="8:17" s="970" customFormat="1" x14ac:dyDescent="0.2">
      <c r="H430" s="1124"/>
      <c r="I430" s="1124"/>
      <c r="J430" s="1124"/>
      <c r="K430" s="969"/>
      <c r="L430" s="969"/>
      <c r="M430" s="969"/>
      <c r="N430" s="969"/>
      <c r="O430" s="969"/>
      <c r="P430" s="969"/>
      <c r="Q430" s="969"/>
    </row>
    <row r="431" spans="8:17" s="970" customFormat="1" x14ac:dyDescent="0.2">
      <c r="H431" s="1124"/>
      <c r="I431" s="1124"/>
      <c r="J431" s="1124"/>
      <c r="K431" s="969"/>
      <c r="L431" s="969"/>
      <c r="M431" s="969"/>
      <c r="N431" s="969"/>
      <c r="O431" s="969"/>
      <c r="P431" s="969"/>
      <c r="Q431" s="969"/>
    </row>
    <row r="432" spans="8:17" s="970" customFormat="1" x14ac:dyDescent="0.2">
      <c r="H432" s="1124"/>
      <c r="I432" s="1124"/>
      <c r="J432" s="1124"/>
      <c r="K432" s="969"/>
      <c r="L432" s="969"/>
      <c r="M432" s="969"/>
      <c r="N432" s="969"/>
      <c r="O432" s="969"/>
      <c r="P432" s="969"/>
      <c r="Q432" s="969"/>
    </row>
    <row r="433" spans="8:17" s="970" customFormat="1" x14ac:dyDescent="0.2">
      <c r="H433" s="1124"/>
      <c r="I433" s="1124"/>
      <c r="J433" s="1124"/>
      <c r="K433" s="969"/>
      <c r="L433" s="969"/>
      <c r="M433" s="969"/>
      <c r="N433" s="969"/>
      <c r="O433" s="969"/>
      <c r="P433" s="969"/>
      <c r="Q433" s="969"/>
    </row>
    <row r="434" spans="8:17" s="970" customFormat="1" x14ac:dyDescent="0.2">
      <c r="H434" s="1124"/>
      <c r="I434" s="1124"/>
      <c r="J434" s="1124"/>
      <c r="K434" s="969"/>
      <c r="L434" s="969"/>
      <c r="M434" s="969"/>
      <c r="N434" s="969"/>
      <c r="O434" s="969"/>
      <c r="P434" s="969"/>
      <c r="Q434" s="969"/>
    </row>
    <row r="435" spans="8:17" s="970" customFormat="1" x14ac:dyDescent="0.2">
      <c r="H435" s="1124"/>
      <c r="I435" s="1124"/>
      <c r="J435" s="1124"/>
      <c r="K435" s="969"/>
      <c r="L435" s="969"/>
      <c r="M435" s="969"/>
      <c r="N435" s="969"/>
      <c r="O435" s="969"/>
      <c r="P435" s="969"/>
      <c r="Q435" s="969"/>
    </row>
    <row r="436" spans="8:17" s="970" customFormat="1" x14ac:dyDescent="0.2">
      <c r="H436" s="1124"/>
      <c r="I436" s="1124"/>
      <c r="J436" s="1124"/>
      <c r="K436" s="969"/>
      <c r="L436" s="969"/>
      <c r="M436" s="969"/>
      <c r="N436" s="969"/>
      <c r="O436" s="969"/>
      <c r="P436" s="969"/>
      <c r="Q436" s="969"/>
    </row>
    <row r="437" spans="8:17" s="970" customFormat="1" x14ac:dyDescent="0.2">
      <c r="H437" s="1124"/>
      <c r="I437" s="1124"/>
      <c r="J437" s="1124"/>
      <c r="K437" s="969"/>
      <c r="L437" s="969"/>
      <c r="M437" s="969"/>
      <c r="N437" s="969"/>
      <c r="O437" s="969"/>
      <c r="P437" s="969"/>
      <c r="Q437" s="969"/>
    </row>
    <row r="438" spans="8:17" s="970" customFormat="1" x14ac:dyDescent="0.2">
      <c r="H438" s="1124"/>
      <c r="I438" s="1124"/>
      <c r="J438" s="1124"/>
      <c r="K438" s="969"/>
      <c r="L438" s="969"/>
      <c r="M438" s="969"/>
      <c r="N438" s="969"/>
      <c r="O438" s="969"/>
      <c r="P438" s="969"/>
      <c r="Q438" s="969"/>
    </row>
    <row r="439" spans="8:17" s="970" customFormat="1" x14ac:dyDescent="0.2">
      <c r="H439" s="1124"/>
      <c r="I439" s="1124"/>
      <c r="J439" s="1124"/>
      <c r="K439" s="969"/>
      <c r="L439" s="969"/>
      <c r="M439" s="969"/>
      <c r="N439" s="969"/>
      <c r="O439" s="969"/>
      <c r="P439" s="969"/>
      <c r="Q439" s="969"/>
    </row>
    <row r="440" spans="8:17" s="970" customFormat="1" x14ac:dyDescent="0.2">
      <c r="H440" s="1124"/>
      <c r="I440" s="1124"/>
      <c r="J440" s="1124"/>
      <c r="K440" s="969"/>
      <c r="L440" s="969"/>
      <c r="M440" s="969"/>
      <c r="N440" s="969"/>
      <c r="O440" s="969"/>
      <c r="P440" s="969"/>
      <c r="Q440" s="969"/>
    </row>
    <row r="441" spans="8:17" s="970" customFormat="1" x14ac:dyDescent="0.2">
      <c r="H441" s="1124"/>
      <c r="I441" s="1124"/>
      <c r="J441" s="1124"/>
      <c r="K441" s="969"/>
      <c r="L441" s="969"/>
      <c r="M441" s="969"/>
      <c r="N441" s="969"/>
      <c r="O441" s="969"/>
      <c r="P441" s="969"/>
      <c r="Q441" s="969"/>
    </row>
    <row r="442" spans="8:17" s="970" customFormat="1" x14ac:dyDescent="0.2">
      <c r="H442" s="1124"/>
      <c r="I442" s="1124"/>
      <c r="J442" s="1124"/>
      <c r="K442" s="969"/>
      <c r="L442" s="969"/>
      <c r="M442" s="969"/>
      <c r="N442" s="969"/>
      <c r="O442" s="969"/>
      <c r="P442" s="969"/>
      <c r="Q442" s="969"/>
    </row>
    <row r="443" spans="8:17" s="970" customFormat="1" x14ac:dyDescent="0.2">
      <c r="H443" s="1124"/>
      <c r="I443" s="1124"/>
      <c r="J443" s="1124"/>
      <c r="K443" s="969"/>
      <c r="L443" s="969"/>
      <c r="M443" s="969"/>
      <c r="N443" s="969"/>
      <c r="O443" s="969"/>
      <c r="P443" s="969"/>
      <c r="Q443" s="969"/>
    </row>
    <row r="444" spans="8:17" s="970" customFormat="1" x14ac:dyDescent="0.2">
      <c r="H444" s="1124"/>
      <c r="I444" s="1124"/>
      <c r="J444" s="1124"/>
      <c r="K444" s="969"/>
      <c r="L444" s="969"/>
      <c r="M444" s="969"/>
      <c r="N444" s="969"/>
      <c r="O444" s="969"/>
      <c r="P444" s="969"/>
      <c r="Q444" s="969"/>
    </row>
    <row r="445" spans="8:17" s="970" customFormat="1" x14ac:dyDescent="0.2">
      <c r="H445" s="1124"/>
      <c r="I445" s="1124"/>
      <c r="J445" s="1124"/>
      <c r="K445" s="969"/>
      <c r="L445" s="969"/>
      <c r="M445" s="969"/>
      <c r="N445" s="969"/>
      <c r="O445" s="969"/>
      <c r="P445" s="969"/>
      <c r="Q445" s="969"/>
    </row>
    <row r="446" spans="8:17" s="970" customFormat="1" x14ac:dyDescent="0.2">
      <c r="H446" s="1124"/>
      <c r="I446" s="1124"/>
      <c r="J446" s="1124"/>
      <c r="K446" s="969"/>
      <c r="L446" s="969"/>
      <c r="M446" s="969"/>
      <c r="N446" s="969"/>
      <c r="O446" s="969"/>
      <c r="P446" s="969"/>
      <c r="Q446" s="969"/>
    </row>
    <row r="447" spans="8:17" s="970" customFormat="1" x14ac:dyDescent="0.2">
      <c r="H447" s="1124"/>
      <c r="I447" s="1124"/>
      <c r="J447" s="1124"/>
      <c r="K447" s="969"/>
      <c r="L447" s="969"/>
      <c r="M447" s="969"/>
      <c r="N447" s="969"/>
      <c r="O447" s="969"/>
      <c r="P447" s="969"/>
      <c r="Q447" s="969"/>
    </row>
    <row r="448" spans="8:17" s="970" customFormat="1" x14ac:dyDescent="0.2">
      <c r="H448" s="1124"/>
      <c r="I448" s="1124"/>
      <c r="J448" s="1124"/>
      <c r="K448" s="969"/>
      <c r="L448" s="969"/>
      <c r="M448" s="969"/>
      <c r="N448" s="969"/>
      <c r="O448" s="969"/>
      <c r="P448" s="969"/>
      <c r="Q448" s="969"/>
    </row>
    <row r="449" spans="8:17" s="970" customFormat="1" x14ac:dyDescent="0.2">
      <c r="H449" s="1124"/>
      <c r="I449" s="1124"/>
      <c r="J449" s="1124"/>
      <c r="K449" s="969"/>
      <c r="L449" s="969"/>
      <c r="M449" s="969"/>
      <c r="N449" s="969"/>
      <c r="O449" s="969"/>
      <c r="P449" s="969"/>
      <c r="Q449" s="969"/>
    </row>
    <row r="450" spans="8:17" s="970" customFormat="1" x14ac:dyDescent="0.2">
      <c r="H450" s="1124"/>
      <c r="I450" s="1124"/>
      <c r="J450" s="1124"/>
      <c r="K450" s="969"/>
      <c r="L450" s="969"/>
      <c r="M450" s="969"/>
      <c r="N450" s="969"/>
      <c r="O450" s="969"/>
      <c r="P450" s="969"/>
      <c r="Q450" s="969"/>
    </row>
    <row r="451" spans="8:17" s="970" customFormat="1" x14ac:dyDescent="0.2">
      <c r="H451" s="1124"/>
      <c r="I451" s="1124"/>
      <c r="J451" s="1124"/>
      <c r="K451" s="969"/>
      <c r="L451" s="969"/>
      <c r="M451" s="969"/>
      <c r="N451" s="969"/>
      <c r="O451" s="969"/>
      <c r="P451" s="969"/>
      <c r="Q451" s="969"/>
    </row>
    <row r="452" spans="8:17" s="970" customFormat="1" x14ac:dyDescent="0.2">
      <c r="H452" s="1124"/>
      <c r="I452" s="1124"/>
      <c r="J452" s="1124"/>
      <c r="K452" s="969"/>
      <c r="L452" s="969"/>
      <c r="M452" s="969"/>
      <c r="N452" s="969"/>
      <c r="O452" s="969"/>
      <c r="P452" s="969"/>
      <c r="Q452" s="969"/>
    </row>
    <row r="453" spans="8:17" s="970" customFormat="1" x14ac:dyDescent="0.2">
      <c r="H453" s="1124"/>
      <c r="I453" s="1124"/>
      <c r="J453" s="1124"/>
      <c r="K453" s="969"/>
      <c r="L453" s="969"/>
      <c r="M453" s="969"/>
      <c r="N453" s="969"/>
      <c r="O453" s="969"/>
      <c r="P453" s="969"/>
      <c r="Q453" s="969"/>
    </row>
    <row r="454" spans="8:17" s="970" customFormat="1" x14ac:dyDescent="0.2">
      <c r="H454" s="1124"/>
      <c r="I454" s="1124"/>
      <c r="J454" s="1124"/>
      <c r="K454" s="969"/>
      <c r="L454" s="969"/>
      <c r="M454" s="969"/>
      <c r="N454" s="969"/>
      <c r="O454" s="969"/>
      <c r="P454" s="969"/>
      <c r="Q454" s="969"/>
    </row>
    <row r="455" spans="8:17" s="970" customFormat="1" x14ac:dyDescent="0.2">
      <c r="H455" s="1124"/>
      <c r="I455" s="1124"/>
      <c r="J455" s="1124"/>
      <c r="K455" s="969"/>
      <c r="L455" s="969"/>
      <c r="M455" s="969"/>
      <c r="N455" s="969"/>
      <c r="O455" s="969"/>
      <c r="P455" s="969"/>
      <c r="Q455" s="969"/>
    </row>
    <row r="456" spans="8:17" s="970" customFormat="1" x14ac:dyDescent="0.2">
      <c r="H456" s="1124"/>
      <c r="I456" s="1124"/>
      <c r="J456" s="1124"/>
      <c r="K456" s="969"/>
      <c r="L456" s="969"/>
      <c r="M456" s="969"/>
      <c r="N456" s="969"/>
      <c r="O456" s="969"/>
      <c r="P456" s="969"/>
      <c r="Q456" s="969"/>
    </row>
    <row r="457" spans="8:17" s="970" customFormat="1" x14ac:dyDescent="0.2">
      <c r="H457" s="1124"/>
      <c r="I457" s="1124"/>
      <c r="J457" s="1124"/>
      <c r="K457" s="969"/>
      <c r="L457" s="969"/>
      <c r="M457" s="969"/>
      <c r="N457" s="969"/>
      <c r="O457" s="969"/>
      <c r="P457" s="969"/>
      <c r="Q457" s="969"/>
    </row>
    <row r="458" spans="8:17" s="970" customFormat="1" x14ac:dyDescent="0.2">
      <c r="H458" s="1124"/>
      <c r="I458" s="1124"/>
      <c r="J458" s="1124"/>
      <c r="K458" s="969"/>
      <c r="L458" s="969"/>
      <c r="M458" s="969"/>
      <c r="N458" s="969"/>
      <c r="O458" s="969"/>
      <c r="P458" s="969"/>
      <c r="Q458" s="969"/>
    </row>
    <row r="459" spans="8:17" s="970" customFormat="1" x14ac:dyDescent="0.2">
      <c r="H459" s="1124"/>
      <c r="I459" s="1124"/>
      <c r="J459" s="1124"/>
      <c r="K459" s="969"/>
      <c r="L459" s="969"/>
      <c r="M459" s="969"/>
      <c r="N459" s="969"/>
      <c r="O459" s="969"/>
      <c r="P459" s="969"/>
      <c r="Q459" s="969"/>
    </row>
    <row r="460" spans="8:17" s="970" customFormat="1" x14ac:dyDescent="0.2">
      <c r="H460" s="1124"/>
      <c r="I460" s="1124"/>
      <c r="J460" s="1124"/>
      <c r="K460" s="969"/>
      <c r="L460" s="969"/>
      <c r="M460" s="969"/>
      <c r="N460" s="969"/>
      <c r="O460" s="969"/>
      <c r="P460" s="969"/>
      <c r="Q460" s="969"/>
    </row>
    <row r="461" spans="8:17" s="970" customFormat="1" x14ac:dyDescent="0.2">
      <c r="H461" s="1124"/>
      <c r="I461" s="1124"/>
      <c r="J461" s="1124"/>
      <c r="K461" s="969"/>
      <c r="L461" s="969"/>
      <c r="M461" s="969"/>
      <c r="N461" s="969"/>
      <c r="O461" s="969"/>
      <c r="P461" s="969"/>
      <c r="Q461" s="969"/>
    </row>
    <row r="462" spans="8:17" s="970" customFormat="1" x14ac:dyDescent="0.2">
      <c r="H462" s="1124"/>
      <c r="I462" s="1124"/>
      <c r="J462" s="1124"/>
      <c r="K462" s="969"/>
      <c r="L462" s="969"/>
      <c r="M462" s="969"/>
      <c r="N462" s="969"/>
      <c r="O462" s="969"/>
      <c r="P462" s="969"/>
      <c r="Q462" s="969"/>
    </row>
    <row r="463" spans="8:17" s="970" customFormat="1" x14ac:dyDescent="0.2">
      <c r="H463" s="1124"/>
      <c r="I463" s="1124"/>
      <c r="J463" s="1124"/>
      <c r="K463" s="969"/>
      <c r="L463" s="969"/>
      <c r="M463" s="969"/>
      <c r="N463" s="969"/>
      <c r="O463" s="969"/>
      <c r="P463" s="969"/>
      <c r="Q463" s="969"/>
    </row>
    <row r="464" spans="8:17" s="970" customFormat="1" x14ac:dyDescent="0.2">
      <c r="H464" s="1124"/>
      <c r="I464" s="1124"/>
      <c r="J464" s="1124"/>
      <c r="K464" s="969"/>
      <c r="L464" s="969"/>
      <c r="M464" s="969"/>
      <c r="N464" s="969"/>
      <c r="O464" s="969"/>
      <c r="P464" s="969"/>
      <c r="Q464" s="969"/>
    </row>
    <row r="465" spans="8:17" s="970" customFormat="1" x14ac:dyDescent="0.2">
      <c r="H465" s="1124"/>
      <c r="I465" s="1124"/>
      <c r="J465" s="1124"/>
      <c r="K465" s="969"/>
      <c r="L465" s="969"/>
      <c r="M465" s="969"/>
      <c r="N465" s="969"/>
      <c r="O465" s="969"/>
      <c r="P465" s="969"/>
      <c r="Q465" s="969"/>
    </row>
    <row r="466" spans="8:17" s="970" customFormat="1" x14ac:dyDescent="0.2">
      <c r="H466" s="1124"/>
      <c r="I466" s="1124"/>
      <c r="J466" s="1124"/>
      <c r="K466" s="969"/>
      <c r="L466" s="969"/>
      <c r="M466" s="969"/>
      <c r="N466" s="969"/>
      <c r="O466" s="969"/>
      <c r="P466" s="969"/>
      <c r="Q466" s="969"/>
    </row>
    <row r="467" spans="8:17" s="970" customFormat="1" x14ac:dyDescent="0.2">
      <c r="H467" s="1124"/>
      <c r="I467" s="1124"/>
      <c r="J467" s="1124"/>
      <c r="K467" s="969"/>
      <c r="L467" s="969"/>
      <c r="M467" s="969"/>
      <c r="N467" s="969"/>
      <c r="O467" s="969"/>
      <c r="P467" s="969"/>
      <c r="Q467" s="969"/>
    </row>
    <row r="468" spans="8:17" s="970" customFormat="1" x14ac:dyDescent="0.2">
      <c r="H468" s="1124"/>
      <c r="I468" s="1124"/>
      <c r="J468" s="1124"/>
      <c r="K468" s="969"/>
      <c r="L468" s="969"/>
      <c r="M468" s="969"/>
      <c r="N468" s="969"/>
      <c r="O468" s="969"/>
      <c r="P468" s="969"/>
      <c r="Q468" s="969"/>
    </row>
    <row r="469" spans="8:17" s="970" customFormat="1" x14ac:dyDescent="0.2">
      <c r="H469" s="1124"/>
      <c r="I469" s="1124"/>
      <c r="J469" s="1124"/>
      <c r="K469" s="969"/>
      <c r="L469" s="969"/>
      <c r="M469" s="969"/>
      <c r="N469" s="969"/>
      <c r="O469" s="969"/>
      <c r="P469" s="969"/>
      <c r="Q469" s="969"/>
    </row>
    <row r="470" spans="8:17" s="970" customFormat="1" x14ac:dyDescent="0.2">
      <c r="H470" s="1124"/>
      <c r="I470" s="1124"/>
      <c r="J470" s="1124"/>
      <c r="K470" s="969"/>
      <c r="L470" s="969"/>
      <c r="M470" s="969"/>
      <c r="N470" s="969"/>
      <c r="O470" s="969"/>
      <c r="P470" s="969"/>
      <c r="Q470" s="969"/>
    </row>
    <row r="471" spans="8:17" s="970" customFormat="1" x14ac:dyDescent="0.2">
      <c r="H471" s="1124"/>
      <c r="I471" s="1124"/>
      <c r="J471" s="1124"/>
      <c r="K471" s="969"/>
      <c r="L471" s="969"/>
      <c r="M471" s="969"/>
      <c r="N471" s="969"/>
      <c r="O471" s="969"/>
      <c r="P471" s="969"/>
      <c r="Q471" s="969"/>
    </row>
    <row r="472" spans="8:17" s="970" customFormat="1" x14ac:dyDescent="0.2">
      <c r="H472" s="1124"/>
      <c r="I472" s="1124"/>
      <c r="J472" s="1124"/>
      <c r="K472" s="969"/>
      <c r="L472" s="969"/>
      <c r="M472" s="969"/>
      <c r="N472" s="969"/>
      <c r="O472" s="969"/>
      <c r="P472" s="969"/>
      <c r="Q472" s="969"/>
    </row>
    <row r="473" spans="8:17" s="970" customFormat="1" x14ac:dyDescent="0.2">
      <c r="H473" s="1124"/>
      <c r="I473" s="1124"/>
      <c r="J473" s="1124"/>
      <c r="K473" s="969"/>
      <c r="L473" s="969"/>
      <c r="M473" s="969"/>
      <c r="N473" s="969"/>
      <c r="O473" s="969"/>
      <c r="P473" s="969"/>
      <c r="Q473" s="969"/>
    </row>
    <row r="474" spans="8:17" s="970" customFormat="1" x14ac:dyDescent="0.2">
      <c r="H474" s="1124"/>
      <c r="I474" s="1124"/>
      <c r="J474" s="1124"/>
      <c r="K474" s="969"/>
      <c r="L474" s="969"/>
      <c r="M474" s="969"/>
      <c r="N474" s="969"/>
      <c r="O474" s="969"/>
      <c r="P474" s="969"/>
      <c r="Q474" s="969"/>
    </row>
    <row r="475" spans="8:17" s="970" customFormat="1" x14ac:dyDescent="0.2">
      <c r="H475" s="1124"/>
      <c r="I475" s="1124"/>
      <c r="J475" s="1124"/>
      <c r="K475" s="969"/>
      <c r="L475" s="969"/>
      <c r="M475" s="969"/>
      <c r="N475" s="969"/>
      <c r="O475" s="969"/>
      <c r="P475" s="969"/>
      <c r="Q475" s="969"/>
    </row>
    <row r="476" spans="8:17" s="970" customFormat="1" x14ac:dyDescent="0.2">
      <c r="H476" s="1124"/>
      <c r="I476" s="1124"/>
      <c r="J476" s="1124"/>
      <c r="K476" s="969"/>
      <c r="L476" s="969"/>
      <c r="M476" s="969"/>
      <c r="N476" s="969"/>
      <c r="O476" s="969"/>
      <c r="P476" s="969"/>
      <c r="Q476" s="969"/>
    </row>
    <row r="477" spans="8:17" s="970" customFormat="1" x14ac:dyDescent="0.2">
      <c r="H477" s="1124"/>
      <c r="I477" s="1124"/>
      <c r="J477" s="1124"/>
      <c r="K477" s="969"/>
      <c r="L477" s="969"/>
      <c r="M477" s="969"/>
      <c r="N477" s="969"/>
      <c r="O477" s="969"/>
      <c r="P477" s="969"/>
      <c r="Q477" s="969"/>
    </row>
    <row r="478" spans="8:17" s="970" customFormat="1" x14ac:dyDescent="0.2">
      <c r="H478" s="1124"/>
      <c r="I478" s="1124"/>
      <c r="J478" s="1124"/>
      <c r="K478" s="969"/>
      <c r="L478" s="969"/>
      <c r="M478" s="969"/>
      <c r="N478" s="969"/>
      <c r="O478" s="969"/>
      <c r="P478" s="969"/>
      <c r="Q478" s="969"/>
    </row>
    <row r="479" spans="8:17" s="970" customFormat="1" x14ac:dyDescent="0.2">
      <c r="H479" s="1124"/>
      <c r="I479" s="1124"/>
      <c r="J479" s="1124"/>
      <c r="K479" s="969"/>
      <c r="L479" s="969"/>
      <c r="M479" s="969"/>
      <c r="N479" s="969"/>
      <c r="O479" s="969"/>
      <c r="P479" s="969"/>
      <c r="Q479" s="969"/>
    </row>
    <row r="480" spans="8:17" s="970" customFormat="1" x14ac:dyDescent="0.2">
      <c r="H480" s="1124"/>
      <c r="I480" s="1124"/>
      <c r="J480" s="1124"/>
      <c r="K480" s="969"/>
      <c r="L480" s="969"/>
      <c r="M480" s="969"/>
      <c r="N480" s="969"/>
      <c r="O480" s="969"/>
      <c r="P480" s="969"/>
      <c r="Q480" s="969"/>
    </row>
    <row r="481" spans="8:17" s="970" customFormat="1" x14ac:dyDescent="0.2">
      <c r="H481" s="1124"/>
      <c r="I481" s="1124"/>
      <c r="J481" s="1124"/>
      <c r="K481" s="969"/>
      <c r="L481" s="969"/>
      <c r="M481" s="969"/>
      <c r="N481" s="969"/>
      <c r="O481" s="969"/>
      <c r="P481" s="969"/>
      <c r="Q481" s="969"/>
    </row>
    <row r="482" spans="8:17" s="970" customFormat="1" x14ac:dyDescent="0.2">
      <c r="H482" s="1124"/>
      <c r="I482" s="1124"/>
      <c r="J482" s="1124"/>
      <c r="K482" s="969"/>
      <c r="L482" s="969"/>
      <c r="M482" s="969"/>
      <c r="N482" s="969"/>
      <c r="O482" s="969"/>
      <c r="P482" s="969"/>
      <c r="Q482" s="969"/>
    </row>
    <row r="483" spans="8:17" s="970" customFormat="1" x14ac:dyDescent="0.2">
      <c r="H483" s="1124"/>
      <c r="I483" s="1124"/>
      <c r="J483" s="1124"/>
      <c r="K483" s="969"/>
      <c r="L483" s="969"/>
      <c r="M483" s="969"/>
      <c r="N483" s="969"/>
      <c r="O483" s="969"/>
      <c r="P483" s="969"/>
      <c r="Q483" s="969"/>
    </row>
    <row r="484" spans="8:17" s="970" customFormat="1" x14ac:dyDescent="0.2">
      <c r="H484" s="1124"/>
      <c r="I484" s="1124"/>
      <c r="J484" s="1124"/>
      <c r="K484" s="969"/>
      <c r="L484" s="969"/>
      <c r="M484" s="969"/>
      <c r="N484" s="969"/>
      <c r="O484" s="969"/>
      <c r="P484" s="969"/>
      <c r="Q484" s="969"/>
    </row>
    <row r="485" spans="8:17" s="970" customFormat="1" x14ac:dyDescent="0.2">
      <c r="H485" s="1124"/>
      <c r="I485" s="1124"/>
      <c r="J485" s="1124"/>
      <c r="K485" s="969"/>
      <c r="L485" s="969"/>
      <c r="M485" s="969"/>
      <c r="N485" s="969"/>
      <c r="O485" s="969"/>
      <c r="P485" s="969"/>
      <c r="Q485" s="969"/>
    </row>
    <row r="486" spans="8:17" s="970" customFormat="1" x14ac:dyDescent="0.2">
      <c r="H486" s="1124"/>
      <c r="I486" s="1124"/>
      <c r="J486" s="1124"/>
      <c r="K486" s="969"/>
      <c r="L486" s="969"/>
      <c r="M486" s="969"/>
      <c r="N486" s="969"/>
      <c r="O486" s="969"/>
      <c r="P486" s="969"/>
      <c r="Q486" s="969"/>
    </row>
    <row r="487" spans="8:17" s="970" customFormat="1" x14ac:dyDescent="0.2">
      <c r="H487" s="1124"/>
      <c r="I487" s="1124"/>
      <c r="J487" s="1124"/>
      <c r="K487" s="969"/>
      <c r="L487" s="969"/>
      <c r="M487" s="969"/>
      <c r="N487" s="969"/>
      <c r="O487" s="969"/>
      <c r="P487" s="969"/>
      <c r="Q487" s="969"/>
    </row>
    <row r="488" spans="8:17" s="970" customFormat="1" x14ac:dyDescent="0.2">
      <c r="H488" s="1124"/>
      <c r="I488" s="1124"/>
      <c r="J488" s="1124"/>
      <c r="K488" s="969"/>
      <c r="L488" s="969"/>
      <c r="M488" s="969"/>
      <c r="N488" s="969"/>
      <c r="O488" s="969"/>
      <c r="P488" s="969"/>
      <c r="Q488" s="969"/>
    </row>
    <row r="489" spans="8:17" s="970" customFormat="1" x14ac:dyDescent="0.2">
      <c r="H489" s="1124"/>
      <c r="I489" s="1124"/>
      <c r="J489" s="1124"/>
      <c r="K489" s="969"/>
      <c r="L489" s="969"/>
      <c r="M489" s="969"/>
      <c r="N489" s="969"/>
      <c r="O489" s="969"/>
      <c r="P489" s="969"/>
      <c r="Q489" s="969"/>
    </row>
    <row r="490" spans="8:17" s="970" customFormat="1" x14ac:dyDescent="0.2">
      <c r="H490" s="1124"/>
      <c r="I490" s="1124"/>
      <c r="J490" s="1124"/>
      <c r="K490" s="969"/>
      <c r="L490" s="969"/>
      <c r="M490" s="969"/>
      <c r="N490" s="969"/>
      <c r="O490" s="969"/>
      <c r="P490" s="969"/>
      <c r="Q490" s="969"/>
    </row>
    <row r="491" spans="8:17" s="970" customFormat="1" x14ac:dyDescent="0.2">
      <c r="H491" s="1124"/>
      <c r="I491" s="1124"/>
      <c r="J491" s="1124"/>
      <c r="K491" s="969"/>
      <c r="L491" s="969"/>
      <c r="M491" s="969"/>
      <c r="N491" s="969"/>
      <c r="O491" s="969"/>
      <c r="P491" s="969"/>
      <c r="Q491" s="969"/>
    </row>
    <row r="492" spans="8:17" s="970" customFormat="1" x14ac:dyDescent="0.2">
      <c r="H492" s="1124"/>
      <c r="I492" s="1124"/>
      <c r="J492" s="1124"/>
      <c r="K492" s="969"/>
      <c r="L492" s="969"/>
      <c r="M492" s="969"/>
      <c r="N492" s="969"/>
      <c r="O492" s="969"/>
      <c r="P492" s="969"/>
      <c r="Q492" s="969"/>
    </row>
    <row r="493" spans="8:17" s="970" customFormat="1" x14ac:dyDescent="0.2">
      <c r="H493" s="1124"/>
      <c r="I493" s="1124"/>
      <c r="J493" s="1124"/>
      <c r="K493" s="969"/>
      <c r="L493" s="969"/>
      <c r="M493" s="969"/>
      <c r="N493" s="969"/>
      <c r="O493" s="969"/>
      <c r="P493" s="969"/>
      <c r="Q493" s="969"/>
    </row>
    <row r="494" spans="8:17" s="970" customFormat="1" x14ac:dyDescent="0.2">
      <c r="H494" s="1124"/>
      <c r="I494" s="1124"/>
      <c r="J494" s="1124"/>
      <c r="K494" s="969"/>
      <c r="L494" s="969"/>
      <c r="M494" s="969"/>
      <c r="N494" s="969"/>
      <c r="O494" s="969"/>
      <c r="P494" s="969"/>
      <c r="Q494" s="969"/>
    </row>
    <row r="495" spans="8:17" s="970" customFormat="1" x14ac:dyDescent="0.2">
      <c r="H495" s="1124"/>
      <c r="I495" s="1124"/>
      <c r="J495" s="1124"/>
      <c r="K495" s="969"/>
      <c r="L495" s="969"/>
      <c r="M495" s="969"/>
      <c r="N495" s="969"/>
      <c r="O495" s="969"/>
      <c r="P495" s="969"/>
      <c r="Q495" s="969"/>
    </row>
    <row r="496" spans="8:17" s="970" customFormat="1" x14ac:dyDescent="0.2">
      <c r="H496" s="1124"/>
      <c r="I496" s="1124"/>
      <c r="J496" s="1124"/>
      <c r="K496" s="969"/>
      <c r="L496" s="969"/>
      <c r="M496" s="969"/>
      <c r="N496" s="969"/>
      <c r="O496" s="969"/>
      <c r="P496" s="969"/>
      <c r="Q496" s="969"/>
    </row>
    <row r="497" spans="8:17" s="970" customFormat="1" x14ac:dyDescent="0.2">
      <c r="H497" s="1124"/>
      <c r="I497" s="1124"/>
      <c r="J497" s="1124"/>
      <c r="K497" s="969"/>
      <c r="L497" s="969"/>
      <c r="M497" s="969"/>
      <c r="N497" s="969"/>
      <c r="O497" s="969"/>
      <c r="P497" s="969"/>
      <c r="Q497" s="969"/>
    </row>
    <row r="498" spans="8:17" s="970" customFormat="1" x14ac:dyDescent="0.2">
      <c r="H498" s="1124"/>
      <c r="I498" s="1124"/>
      <c r="J498" s="1124"/>
      <c r="K498" s="969"/>
      <c r="L498" s="969"/>
      <c r="M498" s="969"/>
      <c r="N498" s="969"/>
      <c r="O498" s="969"/>
      <c r="P498" s="969"/>
      <c r="Q498" s="969"/>
    </row>
    <row r="499" spans="8:17" s="970" customFormat="1" x14ac:dyDescent="0.2">
      <c r="H499" s="1124"/>
      <c r="I499" s="1124"/>
      <c r="J499" s="1124"/>
      <c r="K499" s="969"/>
      <c r="L499" s="969"/>
      <c r="M499" s="969"/>
      <c r="N499" s="969"/>
      <c r="O499" s="969"/>
      <c r="P499" s="969"/>
      <c r="Q499" s="969"/>
    </row>
    <row r="500" spans="8:17" s="970" customFormat="1" x14ac:dyDescent="0.2">
      <c r="H500" s="1124"/>
      <c r="I500" s="1124"/>
      <c r="J500" s="1124"/>
      <c r="K500" s="969"/>
      <c r="L500" s="969"/>
      <c r="M500" s="969"/>
      <c r="N500" s="969"/>
      <c r="O500" s="969"/>
      <c r="P500" s="969"/>
      <c r="Q500" s="969"/>
    </row>
    <row r="501" spans="8:17" s="970" customFormat="1" x14ac:dyDescent="0.2">
      <c r="H501" s="1124"/>
      <c r="I501" s="1124"/>
      <c r="J501" s="1124"/>
      <c r="K501" s="969"/>
      <c r="L501" s="969"/>
      <c r="M501" s="969"/>
      <c r="N501" s="969"/>
      <c r="O501" s="969"/>
      <c r="P501" s="969"/>
      <c r="Q501" s="969"/>
    </row>
    <row r="502" spans="8:17" s="970" customFormat="1" x14ac:dyDescent="0.2">
      <c r="H502" s="1124"/>
      <c r="I502" s="1124"/>
      <c r="J502" s="1124"/>
      <c r="K502" s="969"/>
      <c r="L502" s="969"/>
      <c r="M502" s="969"/>
      <c r="N502" s="969"/>
      <c r="O502" s="969"/>
      <c r="P502" s="969"/>
      <c r="Q502" s="969"/>
    </row>
    <row r="503" spans="8:17" s="970" customFormat="1" x14ac:dyDescent="0.2">
      <c r="H503" s="1124"/>
      <c r="I503" s="1124"/>
      <c r="J503" s="1124"/>
      <c r="K503" s="969"/>
      <c r="L503" s="969"/>
      <c r="M503" s="969"/>
      <c r="N503" s="969"/>
      <c r="O503" s="969"/>
      <c r="P503" s="969"/>
      <c r="Q503" s="969"/>
    </row>
    <row r="504" spans="8:17" s="970" customFormat="1" x14ac:dyDescent="0.2">
      <c r="H504" s="1124"/>
      <c r="I504" s="1124"/>
      <c r="J504" s="1124"/>
      <c r="K504" s="969"/>
      <c r="L504" s="969"/>
      <c r="M504" s="969"/>
      <c r="N504" s="969"/>
      <c r="O504" s="969"/>
      <c r="P504" s="969"/>
      <c r="Q504" s="969"/>
    </row>
    <row r="505" spans="8:17" s="970" customFormat="1" x14ac:dyDescent="0.2">
      <c r="H505" s="1124"/>
      <c r="I505" s="1124"/>
      <c r="J505" s="1124"/>
      <c r="K505" s="969"/>
      <c r="L505" s="969"/>
      <c r="M505" s="969"/>
      <c r="N505" s="969"/>
      <c r="O505" s="969"/>
      <c r="P505" s="969"/>
      <c r="Q505" s="969"/>
    </row>
    <row r="506" spans="8:17" s="970" customFormat="1" x14ac:dyDescent="0.2">
      <c r="H506" s="1124"/>
      <c r="I506" s="1124"/>
      <c r="J506" s="1124"/>
      <c r="K506" s="969"/>
      <c r="L506" s="969"/>
      <c r="M506" s="969"/>
      <c r="N506" s="969"/>
      <c r="O506" s="969"/>
      <c r="P506" s="969"/>
      <c r="Q506" s="969"/>
    </row>
    <row r="507" spans="8:17" s="970" customFormat="1" x14ac:dyDescent="0.2">
      <c r="H507" s="1124"/>
      <c r="I507" s="1124"/>
      <c r="J507" s="1124"/>
      <c r="K507" s="969"/>
      <c r="L507" s="969"/>
      <c r="M507" s="969"/>
      <c r="N507" s="969"/>
      <c r="O507" s="969"/>
      <c r="P507" s="969"/>
      <c r="Q507" s="969"/>
    </row>
    <row r="508" spans="8:17" s="970" customFormat="1" x14ac:dyDescent="0.2">
      <c r="H508" s="1124"/>
      <c r="I508" s="1124"/>
      <c r="J508" s="1124"/>
      <c r="K508" s="969"/>
      <c r="L508" s="969"/>
      <c r="M508" s="969"/>
      <c r="N508" s="969"/>
      <c r="O508" s="969"/>
      <c r="P508" s="969"/>
      <c r="Q508" s="969"/>
    </row>
    <row r="509" spans="8:17" s="970" customFormat="1" x14ac:dyDescent="0.2">
      <c r="H509" s="1124"/>
      <c r="I509" s="1124"/>
      <c r="J509" s="1124"/>
      <c r="K509" s="969"/>
      <c r="L509" s="969"/>
      <c r="M509" s="969"/>
      <c r="N509" s="969"/>
      <c r="O509" s="969"/>
      <c r="P509" s="969"/>
      <c r="Q509" s="969"/>
    </row>
    <row r="510" spans="8:17" s="970" customFormat="1" x14ac:dyDescent="0.2">
      <c r="H510" s="1124"/>
      <c r="I510" s="1124"/>
      <c r="J510" s="1124"/>
      <c r="K510" s="969"/>
      <c r="L510" s="969"/>
      <c r="M510" s="969"/>
      <c r="N510" s="969"/>
      <c r="O510" s="969"/>
      <c r="P510" s="969"/>
      <c r="Q510" s="969"/>
    </row>
    <row r="511" spans="8:17" s="970" customFormat="1" x14ac:dyDescent="0.2">
      <c r="H511" s="1124"/>
      <c r="I511" s="1124"/>
      <c r="J511" s="1124"/>
      <c r="K511" s="969"/>
      <c r="L511" s="969"/>
      <c r="M511" s="969"/>
      <c r="N511" s="969"/>
      <c r="O511" s="969"/>
      <c r="P511" s="969"/>
      <c r="Q511" s="969"/>
    </row>
    <row r="512" spans="8:17" s="970" customFormat="1" x14ac:dyDescent="0.2">
      <c r="H512" s="1124"/>
      <c r="I512" s="1124"/>
      <c r="J512" s="1124"/>
      <c r="K512" s="969"/>
      <c r="L512" s="969"/>
      <c r="M512" s="969"/>
      <c r="N512" s="969"/>
      <c r="O512" s="969"/>
      <c r="P512" s="969"/>
      <c r="Q512" s="969"/>
    </row>
    <row r="513" spans="8:17" s="970" customFormat="1" x14ac:dyDescent="0.2">
      <c r="H513" s="1124"/>
      <c r="I513" s="1124"/>
      <c r="J513" s="1124"/>
      <c r="K513" s="969"/>
      <c r="L513" s="969"/>
      <c r="M513" s="969"/>
      <c r="N513" s="969"/>
      <c r="O513" s="969"/>
      <c r="P513" s="969"/>
      <c r="Q513" s="969"/>
    </row>
    <row r="514" spans="8:17" s="970" customFormat="1" x14ac:dyDescent="0.2">
      <c r="H514" s="1124"/>
      <c r="I514" s="1124"/>
      <c r="J514" s="1124"/>
      <c r="K514" s="969"/>
      <c r="L514" s="969"/>
      <c r="M514" s="969"/>
      <c r="N514" s="969"/>
      <c r="O514" s="969"/>
      <c r="P514" s="969"/>
      <c r="Q514" s="969"/>
    </row>
    <row r="515" spans="8:17" s="970" customFormat="1" x14ac:dyDescent="0.2">
      <c r="H515" s="1124"/>
      <c r="I515" s="1124"/>
      <c r="J515" s="1124"/>
      <c r="K515" s="969"/>
      <c r="L515" s="969"/>
      <c r="M515" s="969"/>
      <c r="N515" s="969"/>
      <c r="O515" s="969"/>
      <c r="P515" s="969"/>
      <c r="Q515" s="969"/>
    </row>
    <row r="516" spans="8:17" s="970" customFormat="1" x14ac:dyDescent="0.2">
      <c r="H516" s="1124"/>
      <c r="I516" s="1124"/>
      <c r="J516" s="1124"/>
      <c r="K516" s="969"/>
      <c r="L516" s="969"/>
      <c r="M516" s="969"/>
      <c r="N516" s="969"/>
      <c r="O516" s="969"/>
      <c r="P516" s="969"/>
      <c r="Q516" s="969"/>
    </row>
    <row r="517" spans="8:17" s="970" customFormat="1" x14ac:dyDescent="0.2">
      <c r="H517" s="1124"/>
      <c r="I517" s="1124"/>
      <c r="J517" s="1124"/>
      <c r="K517" s="969"/>
      <c r="L517" s="969"/>
      <c r="M517" s="969"/>
      <c r="N517" s="969"/>
      <c r="O517" s="969"/>
      <c r="P517" s="969"/>
      <c r="Q517" s="969"/>
    </row>
    <row r="518" spans="8:17" s="970" customFormat="1" x14ac:dyDescent="0.2">
      <c r="H518" s="1124"/>
      <c r="I518" s="1124"/>
      <c r="J518" s="1124"/>
      <c r="K518" s="969"/>
      <c r="L518" s="969"/>
      <c r="M518" s="969"/>
      <c r="N518" s="969"/>
      <c r="O518" s="969"/>
      <c r="P518" s="969"/>
      <c r="Q518" s="969"/>
    </row>
    <row r="519" spans="8:17" s="970" customFormat="1" x14ac:dyDescent="0.2">
      <c r="H519" s="1124"/>
      <c r="I519" s="1124"/>
      <c r="J519" s="1124"/>
      <c r="K519" s="969"/>
      <c r="L519" s="969"/>
      <c r="M519" s="969"/>
      <c r="N519" s="969"/>
      <c r="O519" s="969"/>
      <c r="P519" s="969"/>
      <c r="Q519" s="969"/>
    </row>
    <row r="520" spans="8:17" s="970" customFormat="1" x14ac:dyDescent="0.2">
      <c r="H520" s="1124"/>
      <c r="I520" s="1124"/>
      <c r="J520" s="1124"/>
      <c r="K520" s="969"/>
      <c r="L520" s="969"/>
      <c r="M520" s="969"/>
      <c r="N520" s="969"/>
      <c r="O520" s="969"/>
      <c r="P520" s="969"/>
      <c r="Q520" s="969"/>
    </row>
    <row r="521" spans="8:17" s="970" customFormat="1" x14ac:dyDescent="0.2">
      <c r="H521" s="1124"/>
      <c r="I521" s="1124"/>
      <c r="J521" s="1124"/>
      <c r="K521" s="969"/>
      <c r="L521" s="969"/>
      <c r="M521" s="969"/>
      <c r="N521" s="969"/>
      <c r="O521" s="969"/>
      <c r="P521" s="969"/>
      <c r="Q521" s="969"/>
    </row>
    <row r="522" spans="8:17" s="970" customFormat="1" x14ac:dyDescent="0.2">
      <c r="H522" s="1124"/>
      <c r="I522" s="1124"/>
      <c r="J522" s="1124"/>
      <c r="K522" s="969"/>
      <c r="L522" s="969"/>
      <c r="M522" s="969"/>
      <c r="N522" s="969"/>
      <c r="O522" s="969"/>
      <c r="P522" s="969"/>
      <c r="Q522" s="969"/>
    </row>
    <row r="523" spans="8:17" s="970" customFormat="1" x14ac:dyDescent="0.2">
      <c r="H523" s="1124"/>
      <c r="I523" s="1124"/>
      <c r="J523" s="1124"/>
      <c r="K523" s="969"/>
      <c r="L523" s="969"/>
      <c r="M523" s="969"/>
      <c r="N523" s="969"/>
      <c r="O523" s="969"/>
      <c r="P523" s="969"/>
      <c r="Q523" s="969"/>
    </row>
    <row r="524" spans="8:17" s="970" customFormat="1" x14ac:dyDescent="0.2">
      <c r="H524" s="1124"/>
      <c r="I524" s="1124"/>
      <c r="J524" s="1124"/>
      <c r="K524" s="969"/>
      <c r="L524" s="969"/>
      <c r="M524" s="969"/>
      <c r="N524" s="969"/>
      <c r="O524" s="969"/>
      <c r="P524" s="969"/>
      <c r="Q524" s="969"/>
    </row>
    <row r="525" spans="8:17" s="970" customFormat="1" x14ac:dyDescent="0.2">
      <c r="H525" s="1124"/>
      <c r="I525" s="1124"/>
      <c r="J525" s="1124"/>
      <c r="K525" s="969"/>
      <c r="L525" s="969"/>
      <c r="M525" s="969"/>
      <c r="N525" s="969"/>
      <c r="O525" s="969"/>
      <c r="P525" s="969"/>
      <c r="Q525" s="969"/>
    </row>
    <row r="526" spans="8:17" s="970" customFormat="1" x14ac:dyDescent="0.2">
      <c r="H526" s="1124"/>
      <c r="I526" s="1124"/>
      <c r="J526" s="1124"/>
      <c r="K526" s="969"/>
      <c r="L526" s="969"/>
      <c r="M526" s="969"/>
      <c r="N526" s="969"/>
      <c r="O526" s="969"/>
      <c r="P526" s="969"/>
      <c r="Q526" s="969"/>
    </row>
    <row r="527" spans="8:17" s="970" customFormat="1" x14ac:dyDescent="0.2">
      <c r="H527" s="1124"/>
      <c r="I527" s="1124"/>
      <c r="J527" s="1124"/>
      <c r="K527" s="969"/>
      <c r="L527" s="969"/>
      <c r="M527" s="969"/>
      <c r="N527" s="969"/>
      <c r="O527" s="969"/>
      <c r="P527" s="969"/>
      <c r="Q527" s="969"/>
    </row>
    <row r="528" spans="8:17" s="970" customFormat="1" x14ac:dyDescent="0.2">
      <c r="H528" s="1124"/>
      <c r="I528" s="1124"/>
      <c r="J528" s="1124"/>
      <c r="K528" s="969"/>
      <c r="L528" s="969"/>
      <c r="M528" s="969"/>
      <c r="N528" s="969"/>
      <c r="O528" s="969"/>
      <c r="P528" s="969"/>
      <c r="Q528" s="969"/>
    </row>
    <row r="529" spans="8:17" s="970" customFormat="1" x14ac:dyDescent="0.2">
      <c r="H529" s="1124"/>
      <c r="I529" s="1124"/>
      <c r="J529" s="1124"/>
      <c r="K529" s="969"/>
      <c r="L529" s="969"/>
      <c r="M529" s="969"/>
      <c r="N529" s="969"/>
      <c r="O529" s="969"/>
      <c r="P529" s="969"/>
      <c r="Q529" s="969"/>
    </row>
    <row r="530" spans="8:17" s="970" customFormat="1" x14ac:dyDescent="0.2">
      <c r="H530" s="1124"/>
      <c r="I530" s="1124"/>
      <c r="J530" s="1124"/>
      <c r="K530" s="969"/>
      <c r="L530" s="969"/>
      <c r="M530" s="969"/>
      <c r="N530" s="969"/>
      <c r="O530" s="969"/>
      <c r="P530" s="969"/>
      <c r="Q530" s="969"/>
    </row>
    <row r="531" spans="8:17" s="970" customFormat="1" x14ac:dyDescent="0.2">
      <c r="H531" s="1124"/>
      <c r="I531" s="1124"/>
      <c r="J531" s="1124"/>
      <c r="K531" s="969"/>
      <c r="L531" s="969"/>
      <c r="M531" s="969"/>
      <c r="N531" s="969"/>
      <c r="O531" s="969"/>
      <c r="P531" s="969"/>
      <c r="Q531" s="969"/>
    </row>
    <row r="532" spans="8:17" s="970" customFormat="1" x14ac:dyDescent="0.2">
      <c r="H532" s="1124"/>
      <c r="I532" s="1124"/>
      <c r="J532" s="1124"/>
      <c r="K532" s="969"/>
      <c r="L532" s="969"/>
      <c r="M532" s="969"/>
      <c r="N532" s="969"/>
      <c r="O532" s="969"/>
      <c r="P532" s="969"/>
      <c r="Q532" s="969"/>
    </row>
    <row r="533" spans="8:17" s="970" customFormat="1" x14ac:dyDescent="0.2">
      <c r="H533" s="1124"/>
      <c r="I533" s="1124"/>
      <c r="J533" s="1124"/>
      <c r="K533" s="969"/>
      <c r="L533" s="969"/>
      <c r="M533" s="969"/>
      <c r="N533" s="969"/>
      <c r="O533" s="969"/>
      <c r="P533" s="969"/>
      <c r="Q533" s="969"/>
    </row>
    <row r="534" spans="8:17" s="970" customFormat="1" x14ac:dyDescent="0.2">
      <c r="H534" s="1124"/>
      <c r="I534" s="1124"/>
      <c r="J534" s="1124"/>
      <c r="K534" s="969"/>
      <c r="L534" s="969"/>
      <c r="M534" s="969"/>
      <c r="N534" s="969"/>
      <c r="O534" s="969"/>
      <c r="P534" s="969"/>
      <c r="Q534" s="969"/>
    </row>
    <row r="535" spans="8:17" s="970" customFormat="1" x14ac:dyDescent="0.2">
      <c r="H535" s="1124"/>
      <c r="I535" s="1124"/>
      <c r="J535" s="1124"/>
      <c r="K535" s="969"/>
      <c r="L535" s="969"/>
      <c r="M535" s="969"/>
      <c r="N535" s="969"/>
      <c r="O535" s="969"/>
      <c r="P535" s="969"/>
      <c r="Q535" s="969"/>
    </row>
    <row r="536" spans="8:17" s="970" customFormat="1" x14ac:dyDescent="0.2">
      <c r="H536" s="1124"/>
      <c r="I536" s="1124"/>
      <c r="J536" s="1124"/>
      <c r="K536" s="969"/>
      <c r="L536" s="969"/>
      <c r="M536" s="969"/>
      <c r="N536" s="969"/>
      <c r="O536" s="969"/>
      <c r="P536" s="969"/>
      <c r="Q536" s="969"/>
    </row>
    <row r="537" spans="8:17" s="970" customFormat="1" x14ac:dyDescent="0.2">
      <c r="H537" s="1124"/>
      <c r="I537" s="1124"/>
      <c r="J537" s="1124"/>
      <c r="K537" s="969"/>
      <c r="L537" s="969"/>
      <c r="M537" s="969"/>
      <c r="N537" s="969"/>
      <c r="O537" s="969"/>
      <c r="P537" s="969"/>
      <c r="Q537" s="969"/>
    </row>
    <row r="538" spans="8:17" s="970" customFormat="1" x14ac:dyDescent="0.2">
      <c r="H538" s="1124"/>
      <c r="I538" s="1124"/>
      <c r="J538" s="1124"/>
      <c r="K538" s="969"/>
      <c r="L538" s="969"/>
      <c r="M538" s="969"/>
      <c r="N538" s="969"/>
      <c r="O538" s="969"/>
      <c r="P538" s="969"/>
      <c r="Q538" s="969"/>
    </row>
    <row r="539" spans="8:17" s="970" customFormat="1" x14ac:dyDescent="0.2">
      <c r="H539" s="1124"/>
      <c r="I539" s="1124"/>
      <c r="J539" s="1124"/>
      <c r="K539" s="969"/>
      <c r="L539" s="969"/>
      <c r="M539" s="969"/>
      <c r="N539" s="969"/>
      <c r="O539" s="969"/>
      <c r="P539" s="969"/>
      <c r="Q539" s="969"/>
    </row>
    <row r="540" spans="8:17" s="970" customFormat="1" x14ac:dyDescent="0.2">
      <c r="H540" s="1124"/>
      <c r="I540" s="1124"/>
      <c r="J540" s="1124"/>
      <c r="K540" s="969"/>
      <c r="L540" s="969"/>
      <c r="M540" s="969"/>
      <c r="N540" s="969"/>
      <c r="O540" s="969"/>
      <c r="P540" s="969"/>
      <c r="Q540" s="969"/>
    </row>
    <row r="541" spans="8:17" s="970" customFormat="1" x14ac:dyDescent="0.2">
      <c r="H541" s="1124"/>
      <c r="I541" s="1124"/>
      <c r="J541" s="1124"/>
      <c r="K541" s="969"/>
      <c r="L541" s="969"/>
      <c r="M541" s="969"/>
      <c r="N541" s="969"/>
      <c r="O541" s="969"/>
      <c r="P541" s="969"/>
      <c r="Q541" s="969"/>
    </row>
    <row r="542" spans="8:17" s="970" customFormat="1" x14ac:dyDescent="0.2">
      <c r="H542" s="1124"/>
      <c r="I542" s="1124"/>
      <c r="J542" s="1124"/>
      <c r="K542" s="969"/>
      <c r="L542" s="969"/>
      <c r="M542" s="969"/>
      <c r="N542" s="969"/>
      <c r="O542" s="969"/>
      <c r="P542" s="969"/>
      <c r="Q542" s="969"/>
    </row>
    <row r="543" spans="8:17" s="970" customFormat="1" x14ac:dyDescent="0.2">
      <c r="H543" s="1124"/>
      <c r="I543" s="1124"/>
      <c r="J543" s="1124"/>
      <c r="K543" s="969"/>
      <c r="L543" s="969"/>
      <c r="M543" s="969"/>
      <c r="N543" s="969"/>
      <c r="O543" s="969"/>
      <c r="P543" s="969"/>
      <c r="Q543" s="969"/>
    </row>
    <row r="544" spans="8:17" s="970" customFormat="1" x14ac:dyDescent="0.2">
      <c r="H544" s="1124"/>
      <c r="I544" s="1124"/>
      <c r="J544" s="1124"/>
      <c r="K544" s="969"/>
      <c r="L544" s="969"/>
      <c r="M544" s="969"/>
      <c r="N544" s="969"/>
      <c r="O544" s="969"/>
      <c r="P544" s="969"/>
      <c r="Q544" s="969"/>
    </row>
    <row r="545" spans="8:17" s="970" customFormat="1" x14ac:dyDescent="0.2">
      <c r="H545" s="1124"/>
      <c r="I545" s="1124"/>
      <c r="J545" s="1124"/>
      <c r="K545" s="969"/>
      <c r="L545" s="969"/>
      <c r="M545" s="969"/>
      <c r="N545" s="969"/>
      <c r="O545" s="969"/>
      <c r="P545" s="969"/>
      <c r="Q545" s="969"/>
    </row>
    <row r="546" spans="8:17" s="970" customFormat="1" x14ac:dyDescent="0.2">
      <c r="H546" s="1124"/>
      <c r="I546" s="1124"/>
      <c r="J546" s="1124"/>
      <c r="K546" s="969"/>
      <c r="L546" s="969"/>
      <c r="M546" s="969"/>
      <c r="N546" s="969"/>
      <c r="O546" s="969"/>
      <c r="P546" s="969"/>
      <c r="Q546" s="969"/>
    </row>
    <row r="547" spans="8:17" s="970" customFormat="1" x14ac:dyDescent="0.2">
      <c r="H547" s="1124"/>
      <c r="I547" s="1124"/>
      <c r="J547" s="1124"/>
      <c r="K547" s="969"/>
      <c r="L547" s="969"/>
      <c r="M547" s="969"/>
      <c r="N547" s="969"/>
      <c r="O547" s="969"/>
      <c r="P547" s="969"/>
      <c r="Q547" s="969"/>
    </row>
    <row r="548" spans="8:17" s="970" customFormat="1" x14ac:dyDescent="0.2">
      <c r="H548" s="1124"/>
      <c r="I548" s="1124"/>
      <c r="J548" s="1124"/>
      <c r="K548" s="969"/>
      <c r="L548" s="969"/>
      <c r="M548" s="969"/>
      <c r="N548" s="969"/>
      <c r="O548" s="969"/>
      <c r="P548" s="969"/>
      <c r="Q548" s="969"/>
    </row>
    <row r="549" spans="8:17" s="970" customFormat="1" x14ac:dyDescent="0.2">
      <c r="H549" s="1124"/>
      <c r="I549" s="1124"/>
      <c r="J549" s="1124"/>
      <c r="K549" s="969"/>
      <c r="L549" s="969"/>
      <c r="M549" s="969"/>
      <c r="N549" s="969"/>
      <c r="O549" s="969"/>
      <c r="P549" s="969"/>
      <c r="Q549" s="969"/>
    </row>
    <row r="550" spans="8:17" s="970" customFormat="1" x14ac:dyDescent="0.2">
      <c r="H550" s="1124"/>
      <c r="I550" s="1124"/>
      <c r="J550" s="1124"/>
      <c r="K550" s="969"/>
      <c r="L550" s="969"/>
      <c r="M550" s="969"/>
      <c r="N550" s="969"/>
      <c r="O550" s="969"/>
      <c r="P550" s="969"/>
      <c r="Q550" s="969"/>
    </row>
    <row r="551" spans="8:17" s="970" customFormat="1" x14ac:dyDescent="0.2">
      <c r="H551" s="1124"/>
      <c r="I551" s="1124"/>
      <c r="J551" s="1124"/>
      <c r="K551" s="969"/>
      <c r="L551" s="969"/>
      <c r="M551" s="969"/>
      <c r="N551" s="969"/>
      <c r="O551" s="969"/>
      <c r="P551" s="969"/>
      <c r="Q551" s="969"/>
    </row>
    <row r="552" spans="8:17" s="970" customFormat="1" x14ac:dyDescent="0.2">
      <c r="H552" s="1124"/>
      <c r="I552" s="1124"/>
      <c r="J552" s="1124"/>
      <c r="K552" s="969"/>
      <c r="L552" s="969"/>
      <c r="M552" s="969"/>
      <c r="N552" s="969"/>
      <c r="O552" s="969"/>
      <c r="P552" s="969"/>
      <c r="Q552" s="969"/>
    </row>
    <row r="553" spans="8:17" s="970" customFormat="1" x14ac:dyDescent="0.2">
      <c r="H553" s="1124"/>
      <c r="I553" s="1124"/>
      <c r="J553" s="1124"/>
      <c r="K553" s="969"/>
      <c r="L553" s="969"/>
      <c r="M553" s="969"/>
      <c r="N553" s="969"/>
      <c r="O553" s="969"/>
      <c r="P553" s="969"/>
      <c r="Q553" s="969"/>
    </row>
    <row r="554" spans="8:17" s="970" customFormat="1" x14ac:dyDescent="0.2">
      <c r="H554" s="1124"/>
      <c r="I554" s="1124"/>
      <c r="J554" s="1124"/>
      <c r="K554" s="969"/>
      <c r="L554" s="969"/>
      <c r="M554" s="969"/>
      <c r="N554" s="969"/>
      <c r="O554" s="969"/>
      <c r="P554" s="969"/>
      <c r="Q554" s="969"/>
    </row>
    <row r="555" spans="8:17" s="970" customFormat="1" x14ac:dyDescent="0.2">
      <c r="H555" s="1124"/>
      <c r="I555" s="1124"/>
      <c r="J555" s="1124"/>
      <c r="K555" s="969"/>
      <c r="L555" s="969"/>
      <c r="M555" s="969"/>
      <c r="N555" s="969"/>
      <c r="O555" s="969"/>
      <c r="P555" s="969"/>
      <c r="Q555" s="969"/>
    </row>
    <row r="556" spans="8:17" s="970" customFormat="1" x14ac:dyDescent="0.2">
      <c r="H556" s="1124"/>
      <c r="I556" s="1124"/>
      <c r="J556" s="1124"/>
      <c r="K556" s="969"/>
      <c r="L556" s="969"/>
      <c r="M556" s="969"/>
      <c r="N556" s="969"/>
      <c r="O556" s="969"/>
      <c r="P556" s="969"/>
      <c r="Q556" s="969"/>
    </row>
    <row r="557" spans="8:17" s="970" customFormat="1" x14ac:dyDescent="0.2">
      <c r="H557" s="1124"/>
      <c r="I557" s="1124"/>
      <c r="J557" s="1124"/>
      <c r="K557" s="969"/>
      <c r="L557" s="969"/>
      <c r="M557" s="969"/>
      <c r="N557" s="969"/>
      <c r="O557" s="969"/>
      <c r="P557" s="969"/>
      <c r="Q557" s="969"/>
    </row>
    <row r="558" spans="8:17" s="970" customFormat="1" x14ac:dyDescent="0.2">
      <c r="H558" s="1124"/>
      <c r="I558" s="1124"/>
      <c r="J558" s="1124"/>
      <c r="K558" s="969"/>
      <c r="L558" s="969"/>
      <c r="M558" s="969"/>
      <c r="N558" s="969"/>
      <c r="O558" s="969"/>
      <c r="P558" s="969"/>
      <c r="Q558" s="969"/>
    </row>
    <row r="559" spans="8:17" s="970" customFormat="1" x14ac:dyDescent="0.2">
      <c r="H559" s="1124"/>
      <c r="I559" s="1124"/>
      <c r="J559" s="1124"/>
      <c r="K559" s="969"/>
      <c r="L559" s="969"/>
      <c r="M559" s="969"/>
      <c r="N559" s="969"/>
      <c r="O559" s="969"/>
      <c r="P559" s="969"/>
      <c r="Q559" s="969"/>
    </row>
    <row r="560" spans="8:17" s="970" customFormat="1" x14ac:dyDescent="0.2">
      <c r="H560" s="1124"/>
      <c r="I560" s="1124"/>
      <c r="J560" s="1124"/>
      <c r="K560" s="969"/>
      <c r="L560" s="969"/>
      <c r="M560" s="969"/>
      <c r="N560" s="969"/>
      <c r="O560" s="969"/>
      <c r="P560" s="969"/>
      <c r="Q560" s="969"/>
    </row>
    <row r="561" spans="8:17" s="970" customFormat="1" x14ac:dyDescent="0.2">
      <c r="H561" s="1124"/>
      <c r="I561" s="1124"/>
      <c r="J561" s="1124"/>
      <c r="K561" s="969"/>
      <c r="L561" s="969"/>
      <c r="M561" s="969"/>
      <c r="N561" s="969"/>
      <c r="O561" s="969"/>
      <c r="P561" s="969"/>
      <c r="Q561" s="969"/>
    </row>
    <row r="562" spans="8:17" s="970" customFormat="1" x14ac:dyDescent="0.2">
      <c r="H562" s="1124"/>
      <c r="I562" s="1124"/>
      <c r="J562" s="1124"/>
      <c r="K562" s="969"/>
      <c r="L562" s="969"/>
      <c r="M562" s="969"/>
      <c r="N562" s="969"/>
      <c r="O562" s="969"/>
      <c r="P562" s="969"/>
      <c r="Q562" s="969"/>
    </row>
    <row r="563" spans="8:17" s="970" customFormat="1" x14ac:dyDescent="0.2">
      <c r="H563" s="1124"/>
      <c r="I563" s="1124"/>
      <c r="J563" s="1124"/>
      <c r="K563" s="969"/>
      <c r="L563" s="969"/>
      <c r="M563" s="969"/>
      <c r="N563" s="969"/>
      <c r="O563" s="969"/>
      <c r="P563" s="969"/>
      <c r="Q563" s="969"/>
    </row>
    <row r="564" spans="8:17" s="970" customFormat="1" x14ac:dyDescent="0.2">
      <c r="H564" s="1124"/>
      <c r="I564" s="1124"/>
      <c r="J564" s="1124"/>
      <c r="K564" s="969"/>
      <c r="L564" s="969"/>
      <c r="M564" s="969"/>
      <c r="N564" s="969"/>
      <c r="O564" s="969"/>
      <c r="P564" s="969"/>
      <c r="Q564" s="969"/>
    </row>
    <row r="565" spans="8:17" s="970" customFormat="1" x14ac:dyDescent="0.2">
      <c r="H565" s="1124"/>
      <c r="I565" s="1124"/>
      <c r="J565" s="1124"/>
      <c r="K565" s="969"/>
      <c r="L565" s="969"/>
      <c r="M565" s="969"/>
      <c r="N565" s="969"/>
      <c r="O565" s="969"/>
      <c r="P565" s="969"/>
      <c r="Q565" s="969"/>
    </row>
    <row r="566" spans="8:17" s="970" customFormat="1" x14ac:dyDescent="0.2">
      <c r="H566" s="1124"/>
      <c r="I566" s="1124"/>
      <c r="J566" s="1124"/>
      <c r="K566" s="969"/>
      <c r="L566" s="969"/>
      <c r="M566" s="969"/>
      <c r="N566" s="969"/>
      <c r="O566" s="969"/>
      <c r="P566" s="969"/>
      <c r="Q566" s="969"/>
    </row>
    <row r="567" spans="8:17" s="970" customFormat="1" x14ac:dyDescent="0.2">
      <c r="H567" s="1124"/>
      <c r="I567" s="1124"/>
      <c r="J567" s="1124"/>
      <c r="K567" s="969"/>
      <c r="L567" s="969"/>
      <c r="M567" s="969"/>
      <c r="N567" s="969"/>
      <c r="O567" s="969"/>
      <c r="P567" s="969"/>
      <c r="Q567" s="969"/>
    </row>
    <row r="568" spans="8:17" s="970" customFormat="1" x14ac:dyDescent="0.2">
      <c r="H568" s="1124"/>
      <c r="I568" s="1124"/>
      <c r="J568" s="1124"/>
      <c r="K568" s="969"/>
      <c r="L568" s="969"/>
      <c r="M568" s="969"/>
      <c r="N568" s="969"/>
      <c r="O568" s="969"/>
      <c r="P568" s="969"/>
      <c r="Q568" s="969"/>
    </row>
    <row r="569" spans="8:17" s="970" customFormat="1" x14ac:dyDescent="0.2">
      <c r="H569" s="1124"/>
      <c r="I569" s="1124"/>
      <c r="J569" s="1124"/>
      <c r="K569" s="969"/>
      <c r="L569" s="969"/>
      <c r="M569" s="969"/>
      <c r="N569" s="969"/>
      <c r="O569" s="969"/>
      <c r="P569" s="969"/>
      <c r="Q569" s="969"/>
    </row>
    <row r="570" spans="8:17" s="970" customFormat="1" x14ac:dyDescent="0.2">
      <c r="H570" s="1124"/>
      <c r="I570" s="1124"/>
      <c r="J570" s="1124"/>
      <c r="K570" s="969"/>
      <c r="L570" s="969"/>
      <c r="M570" s="969"/>
      <c r="N570" s="969"/>
      <c r="O570" s="969"/>
      <c r="P570" s="969"/>
      <c r="Q570" s="969"/>
    </row>
    <row r="571" spans="8:17" s="970" customFormat="1" x14ac:dyDescent="0.2">
      <c r="H571" s="1124"/>
      <c r="I571" s="1124"/>
      <c r="J571" s="1124"/>
      <c r="K571" s="969"/>
      <c r="L571" s="969"/>
      <c r="M571" s="969"/>
      <c r="N571" s="969"/>
      <c r="O571" s="969"/>
      <c r="P571" s="969"/>
      <c r="Q571" s="969"/>
    </row>
    <row r="572" spans="8:17" s="970" customFormat="1" x14ac:dyDescent="0.2">
      <c r="H572" s="1124"/>
      <c r="I572" s="1124"/>
      <c r="J572" s="1124"/>
      <c r="K572" s="969"/>
      <c r="L572" s="969"/>
      <c r="M572" s="969"/>
      <c r="N572" s="969"/>
      <c r="O572" s="969"/>
      <c r="P572" s="969"/>
      <c r="Q572" s="969"/>
    </row>
    <row r="573" spans="8:17" s="970" customFormat="1" x14ac:dyDescent="0.2">
      <c r="H573" s="1124"/>
      <c r="I573" s="1124"/>
      <c r="J573" s="1124"/>
      <c r="K573" s="969"/>
      <c r="L573" s="969"/>
      <c r="M573" s="969"/>
      <c r="N573" s="969"/>
      <c r="O573" s="969"/>
      <c r="P573" s="969"/>
      <c r="Q573" s="969"/>
    </row>
    <row r="574" spans="8:17" s="970" customFormat="1" x14ac:dyDescent="0.2">
      <c r="H574" s="1124"/>
      <c r="I574" s="1124"/>
      <c r="J574" s="1124"/>
      <c r="K574" s="969"/>
      <c r="L574" s="969"/>
      <c r="M574" s="969"/>
      <c r="N574" s="969"/>
      <c r="O574" s="969"/>
      <c r="P574" s="969"/>
      <c r="Q574" s="969"/>
    </row>
    <row r="575" spans="8:17" s="970" customFormat="1" x14ac:dyDescent="0.2">
      <c r="H575" s="1124"/>
      <c r="I575" s="1124"/>
      <c r="J575" s="1124"/>
      <c r="K575" s="969"/>
      <c r="L575" s="969"/>
      <c r="M575" s="969"/>
      <c r="N575" s="969"/>
      <c r="O575" s="969"/>
      <c r="P575" s="969"/>
      <c r="Q575" s="969"/>
    </row>
    <row r="576" spans="8:17" s="970" customFormat="1" x14ac:dyDescent="0.2">
      <c r="H576" s="1124"/>
      <c r="I576" s="1124"/>
      <c r="J576" s="1124"/>
      <c r="K576" s="969"/>
      <c r="L576" s="969"/>
      <c r="M576" s="969"/>
      <c r="N576" s="969"/>
      <c r="O576" s="969"/>
      <c r="P576" s="969"/>
      <c r="Q576" s="969"/>
    </row>
    <row r="577" spans="8:17" s="970" customFormat="1" x14ac:dyDescent="0.2">
      <c r="H577" s="1124"/>
      <c r="I577" s="1124"/>
      <c r="J577" s="1124"/>
      <c r="K577" s="969"/>
      <c r="L577" s="969"/>
      <c r="M577" s="969"/>
      <c r="N577" s="969"/>
      <c r="O577" s="969"/>
      <c r="P577" s="969"/>
      <c r="Q577" s="969"/>
    </row>
    <row r="578" spans="8:17" s="970" customFormat="1" x14ac:dyDescent="0.2">
      <c r="H578" s="1124"/>
      <c r="I578" s="1124"/>
      <c r="J578" s="1124"/>
      <c r="K578" s="969"/>
      <c r="L578" s="969"/>
      <c r="M578" s="969"/>
      <c r="N578" s="969"/>
      <c r="O578" s="969"/>
      <c r="P578" s="969"/>
      <c r="Q578" s="969"/>
    </row>
    <row r="579" spans="8:17" s="970" customFormat="1" x14ac:dyDescent="0.2">
      <c r="H579" s="1124"/>
      <c r="I579" s="1124"/>
      <c r="J579" s="1124"/>
      <c r="K579" s="969"/>
      <c r="L579" s="969"/>
      <c r="M579" s="969"/>
      <c r="N579" s="969"/>
      <c r="O579" s="969"/>
      <c r="P579" s="969"/>
      <c r="Q579" s="969"/>
    </row>
    <row r="580" spans="8:17" s="970" customFormat="1" x14ac:dyDescent="0.2">
      <c r="H580" s="1124"/>
      <c r="I580" s="1124"/>
      <c r="J580" s="1124"/>
      <c r="K580" s="969"/>
      <c r="L580" s="969"/>
      <c r="M580" s="969"/>
      <c r="N580" s="969"/>
      <c r="O580" s="969"/>
      <c r="P580" s="969"/>
      <c r="Q580" s="969"/>
    </row>
    <row r="581" spans="8:17" s="970" customFormat="1" x14ac:dyDescent="0.2">
      <c r="H581" s="1124"/>
      <c r="I581" s="1124"/>
      <c r="J581" s="1124"/>
      <c r="K581" s="969"/>
      <c r="L581" s="969"/>
      <c r="M581" s="969"/>
      <c r="N581" s="969"/>
      <c r="O581" s="969"/>
      <c r="P581" s="969"/>
      <c r="Q581" s="969"/>
    </row>
    <row r="582" spans="8:17" s="970" customFormat="1" x14ac:dyDescent="0.2">
      <c r="H582" s="1124"/>
      <c r="I582" s="1124"/>
      <c r="J582" s="1124"/>
      <c r="K582" s="969"/>
      <c r="L582" s="969"/>
      <c r="M582" s="969"/>
      <c r="N582" s="969"/>
      <c r="O582" s="969"/>
      <c r="P582" s="969"/>
      <c r="Q582" s="969"/>
    </row>
    <row r="583" spans="8:17" s="970" customFormat="1" x14ac:dyDescent="0.2">
      <c r="H583" s="1124"/>
      <c r="I583" s="1124"/>
      <c r="J583" s="1124"/>
      <c r="K583" s="969"/>
      <c r="L583" s="969"/>
      <c r="M583" s="969"/>
      <c r="N583" s="969"/>
      <c r="O583" s="969"/>
      <c r="P583" s="969"/>
      <c r="Q583" s="969"/>
    </row>
    <row r="584" spans="8:17" s="970" customFormat="1" x14ac:dyDescent="0.2">
      <c r="H584" s="1124"/>
      <c r="I584" s="1124"/>
      <c r="J584" s="1124"/>
      <c r="K584" s="969"/>
      <c r="L584" s="969"/>
      <c r="M584" s="969"/>
      <c r="N584" s="969"/>
      <c r="O584" s="969"/>
      <c r="P584" s="969"/>
      <c r="Q584" s="969"/>
    </row>
    <row r="585" spans="8:17" s="970" customFormat="1" x14ac:dyDescent="0.2">
      <c r="H585" s="1124"/>
      <c r="I585" s="1124"/>
      <c r="J585" s="1124"/>
      <c r="K585" s="969"/>
      <c r="L585" s="969"/>
      <c r="M585" s="969"/>
      <c r="N585" s="969"/>
      <c r="O585" s="969"/>
      <c r="P585" s="969"/>
      <c r="Q585" s="969"/>
    </row>
    <row r="586" spans="8:17" s="970" customFormat="1" x14ac:dyDescent="0.2">
      <c r="H586" s="1124"/>
      <c r="I586" s="1124"/>
      <c r="J586" s="1124"/>
      <c r="K586" s="969"/>
      <c r="L586" s="969"/>
      <c r="M586" s="969"/>
      <c r="N586" s="969"/>
      <c r="O586" s="969"/>
      <c r="P586" s="969"/>
      <c r="Q586" s="969"/>
    </row>
    <row r="587" spans="8:17" s="970" customFormat="1" x14ac:dyDescent="0.2">
      <c r="H587" s="1124"/>
      <c r="I587" s="1124"/>
      <c r="J587" s="1124"/>
      <c r="K587" s="969"/>
      <c r="L587" s="969"/>
      <c r="M587" s="969"/>
      <c r="N587" s="969"/>
      <c r="O587" s="969"/>
      <c r="P587" s="969"/>
      <c r="Q587" s="969"/>
    </row>
    <row r="588" spans="8:17" s="970" customFormat="1" x14ac:dyDescent="0.2">
      <c r="H588" s="1124"/>
      <c r="I588" s="1124"/>
      <c r="J588" s="1124"/>
      <c r="K588" s="969"/>
      <c r="L588" s="969"/>
      <c r="M588" s="969"/>
      <c r="N588" s="969"/>
      <c r="O588" s="969"/>
      <c r="P588" s="969"/>
      <c r="Q588" s="969"/>
    </row>
    <row r="589" spans="8:17" s="970" customFormat="1" x14ac:dyDescent="0.2">
      <c r="H589" s="1124"/>
      <c r="I589" s="1124"/>
      <c r="J589" s="1124"/>
      <c r="K589" s="969"/>
      <c r="L589" s="969"/>
      <c r="M589" s="969"/>
      <c r="N589" s="969"/>
      <c r="O589" s="969"/>
      <c r="P589" s="969"/>
      <c r="Q589" s="969"/>
    </row>
    <row r="590" spans="8:17" s="970" customFormat="1" x14ac:dyDescent="0.2">
      <c r="H590" s="1124"/>
      <c r="I590" s="1124"/>
      <c r="J590" s="1124"/>
      <c r="K590" s="969"/>
      <c r="L590" s="969"/>
      <c r="M590" s="969"/>
      <c r="N590" s="969"/>
      <c r="O590" s="969"/>
      <c r="P590" s="969"/>
      <c r="Q590" s="969"/>
    </row>
    <row r="591" spans="8:17" s="970" customFormat="1" x14ac:dyDescent="0.2">
      <c r="H591" s="1124"/>
      <c r="I591" s="1124"/>
      <c r="J591" s="1124"/>
      <c r="K591" s="969"/>
      <c r="L591" s="969"/>
      <c r="M591" s="969"/>
      <c r="N591" s="969"/>
      <c r="O591" s="969"/>
      <c r="P591" s="969"/>
      <c r="Q591" s="969"/>
    </row>
    <row r="592" spans="8:17" s="970" customFormat="1" x14ac:dyDescent="0.2">
      <c r="H592" s="1124"/>
      <c r="I592" s="1124"/>
      <c r="J592" s="1124"/>
      <c r="K592" s="969"/>
      <c r="L592" s="969"/>
      <c r="M592" s="969"/>
      <c r="N592" s="969"/>
      <c r="O592" s="969"/>
      <c r="P592" s="969"/>
      <c r="Q592" s="969"/>
    </row>
    <row r="593" spans="8:17" s="970" customFormat="1" x14ac:dyDescent="0.2">
      <c r="H593" s="1124"/>
      <c r="I593" s="1124"/>
      <c r="J593" s="1124"/>
      <c r="K593" s="969"/>
      <c r="L593" s="969"/>
      <c r="M593" s="969"/>
      <c r="N593" s="969"/>
      <c r="O593" s="969"/>
      <c r="P593" s="969"/>
      <c r="Q593" s="969"/>
    </row>
    <row r="594" spans="8:17" s="970" customFormat="1" x14ac:dyDescent="0.2">
      <c r="H594" s="1124"/>
      <c r="I594" s="1124"/>
      <c r="J594" s="1124"/>
      <c r="K594" s="969"/>
      <c r="L594" s="969"/>
      <c r="M594" s="969"/>
      <c r="N594" s="969"/>
      <c r="O594" s="969"/>
      <c r="P594" s="969"/>
      <c r="Q594" s="969"/>
    </row>
    <row r="595" spans="8:17" s="970" customFormat="1" x14ac:dyDescent="0.2">
      <c r="H595" s="1124"/>
      <c r="I595" s="1124"/>
      <c r="J595" s="1124"/>
      <c r="K595" s="969"/>
      <c r="L595" s="969"/>
      <c r="M595" s="969"/>
      <c r="N595" s="969"/>
      <c r="O595" s="969"/>
      <c r="P595" s="969"/>
      <c r="Q595" s="969"/>
    </row>
    <row r="596" spans="8:17" s="970" customFormat="1" x14ac:dyDescent="0.2">
      <c r="H596" s="1124"/>
      <c r="I596" s="1124"/>
      <c r="J596" s="1124"/>
      <c r="K596" s="969"/>
      <c r="L596" s="969"/>
      <c r="M596" s="969"/>
      <c r="N596" s="969"/>
      <c r="O596" s="969"/>
      <c r="P596" s="969"/>
      <c r="Q596" s="969"/>
    </row>
    <row r="597" spans="8:17" s="970" customFormat="1" x14ac:dyDescent="0.2">
      <c r="H597" s="1124"/>
      <c r="I597" s="1124"/>
      <c r="J597" s="1124"/>
      <c r="K597" s="969"/>
      <c r="L597" s="969"/>
      <c r="M597" s="969"/>
      <c r="N597" s="969"/>
      <c r="O597" s="969"/>
      <c r="P597" s="969"/>
      <c r="Q597" s="969"/>
    </row>
    <row r="598" spans="8:17" s="970" customFormat="1" x14ac:dyDescent="0.2">
      <c r="H598" s="1124"/>
      <c r="I598" s="1124"/>
      <c r="J598" s="1124"/>
      <c r="K598" s="969"/>
      <c r="L598" s="969"/>
      <c r="M598" s="969"/>
      <c r="N598" s="969"/>
      <c r="O598" s="969"/>
      <c r="P598" s="969"/>
      <c r="Q598" s="969"/>
    </row>
    <row r="599" spans="8:17" s="970" customFormat="1" x14ac:dyDescent="0.2">
      <c r="H599" s="1124"/>
      <c r="I599" s="1124"/>
      <c r="J599" s="1124"/>
      <c r="K599" s="969"/>
      <c r="L599" s="969"/>
      <c r="M599" s="969"/>
      <c r="N599" s="969"/>
      <c r="O599" s="969"/>
      <c r="P599" s="969"/>
      <c r="Q599" s="969"/>
    </row>
    <row r="600" spans="8:17" s="970" customFormat="1" x14ac:dyDescent="0.2">
      <c r="H600" s="1124"/>
      <c r="I600" s="1124"/>
      <c r="J600" s="1124"/>
      <c r="K600" s="969"/>
      <c r="L600" s="969"/>
      <c r="M600" s="969"/>
      <c r="N600" s="969"/>
      <c r="O600" s="969"/>
      <c r="P600" s="969"/>
      <c r="Q600" s="969"/>
    </row>
    <row r="601" spans="8:17" s="970" customFormat="1" x14ac:dyDescent="0.2">
      <c r="H601" s="1124"/>
      <c r="I601" s="1124"/>
      <c r="J601" s="1124"/>
      <c r="K601" s="969"/>
      <c r="L601" s="969"/>
      <c r="M601" s="969"/>
      <c r="N601" s="969"/>
      <c r="O601" s="969"/>
      <c r="P601" s="969"/>
      <c r="Q601" s="969"/>
    </row>
    <row r="602" spans="8:17" s="970" customFormat="1" x14ac:dyDescent="0.2">
      <c r="H602" s="1124"/>
      <c r="I602" s="1124"/>
      <c r="J602" s="1124"/>
      <c r="K602" s="969"/>
      <c r="L602" s="969"/>
      <c r="M602" s="969"/>
      <c r="N602" s="969"/>
      <c r="O602" s="969"/>
      <c r="P602" s="969"/>
      <c r="Q602" s="969"/>
    </row>
    <row r="603" spans="8:17" s="970" customFormat="1" x14ac:dyDescent="0.2">
      <c r="H603" s="1124"/>
      <c r="I603" s="1124"/>
      <c r="J603" s="1124"/>
      <c r="K603" s="969"/>
      <c r="L603" s="969"/>
      <c r="M603" s="969"/>
      <c r="N603" s="969"/>
      <c r="O603" s="969"/>
      <c r="P603" s="969"/>
      <c r="Q603" s="969"/>
    </row>
    <row r="604" spans="8:17" s="970" customFormat="1" x14ac:dyDescent="0.2">
      <c r="H604" s="1124"/>
      <c r="I604" s="1124"/>
      <c r="J604" s="1124"/>
      <c r="K604" s="969"/>
      <c r="L604" s="969"/>
      <c r="M604" s="969"/>
      <c r="N604" s="969"/>
      <c r="O604" s="969"/>
      <c r="P604" s="969"/>
      <c r="Q604" s="969"/>
    </row>
    <row r="605" spans="8:17" s="970" customFormat="1" x14ac:dyDescent="0.2">
      <c r="H605" s="1124"/>
      <c r="I605" s="1124"/>
      <c r="J605" s="1124"/>
      <c r="K605" s="969"/>
      <c r="L605" s="969"/>
      <c r="M605" s="969"/>
      <c r="N605" s="969"/>
      <c r="O605" s="969"/>
      <c r="P605" s="969"/>
      <c r="Q605" s="969"/>
    </row>
    <row r="606" spans="8:17" s="970" customFormat="1" x14ac:dyDescent="0.2">
      <c r="H606" s="1124"/>
      <c r="I606" s="1124"/>
      <c r="J606" s="1124"/>
      <c r="K606" s="969"/>
      <c r="L606" s="969"/>
      <c r="M606" s="969"/>
      <c r="N606" s="969"/>
      <c r="O606" s="969"/>
      <c r="P606" s="969"/>
      <c r="Q606" s="969"/>
    </row>
    <row r="607" spans="8:17" s="970" customFormat="1" x14ac:dyDescent="0.2">
      <c r="H607" s="1124"/>
      <c r="I607" s="1124"/>
      <c r="J607" s="1124"/>
      <c r="K607" s="969"/>
      <c r="L607" s="969"/>
      <c r="M607" s="969"/>
      <c r="N607" s="969"/>
      <c r="O607" s="969"/>
      <c r="P607" s="969"/>
      <c r="Q607" s="969"/>
    </row>
    <row r="608" spans="8:17" s="970" customFormat="1" x14ac:dyDescent="0.2">
      <c r="H608" s="1124"/>
      <c r="I608" s="1124"/>
      <c r="J608" s="1124"/>
      <c r="K608" s="969"/>
      <c r="L608" s="969"/>
      <c r="M608" s="969"/>
      <c r="N608" s="969"/>
      <c r="O608" s="969"/>
      <c r="P608" s="969"/>
      <c r="Q608" s="969"/>
    </row>
    <row r="609" spans="8:17" s="970" customFormat="1" x14ac:dyDescent="0.2">
      <c r="H609" s="1124"/>
      <c r="I609" s="1124"/>
      <c r="J609" s="1124"/>
      <c r="K609" s="969"/>
      <c r="L609" s="969"/>
      <c r="M609" s="969"/>
      <c r="N609" s="969"/>
      <c r="O609" s="969"/>
      <c r="P609" s="969"/>
      <c r="Q609" s="969"/>
    </row>
    <row r="610" spans="8:17" s="970" customFormat="1" x14ac:dyDescent="0.2">
      <c r="H610" s="1124"/>
      <c r="I610" s="1124"/>
      <c r="J610" s="1124"/>
      <c r="K610" s="969"/>
      <c r="L610" s="969"/>
      <c r="M610" s="969"/>
      <c r="N610" s="969"/>
      <c r="O610" s="969"/>
      <c r="P610" s="969"/>
      <c r="Q610" s="969"/>
    </row>
    <row r="611" spans="8:17" s="970" customFormat="1" x14ac:dyDescent="0.2">
      <c r="H611" s="1124"/>
      <c r="I611" s="1124"/>
      <c r="J611" s="1124"/>
      <c r="K611" s="969"/>
      <c r="L611" s="969"/>
      <c r="M611" s="969"/>
      <c r="N611" s="969"/>
      <c r="O611" s="969"/>
      <c r="P611" s="969"/>
      <c r="Q611" s="969"/>
    </row>
    <row r="612" spans="8:17" s="970" customFormat="1" x14ac:dyDescent="0.2">
      <c r="H612" s="1124"/>
      <c r="I612" s="1124"/>
      <c r="J612" s="1124"/>
      <c r="K612" s="969"/>
      <c r="L612" s="969"/>
      <c r="M612" s="969"/>
      <c r="N612" s="969"/>
      <c r="O612" s="969"/>
      <c r="P612" s="969"/>
      <c r="Q612" s="969"/>
    </row>
    <row r="613" spans="8:17" s="970" customFormat="1" x14ac:dyDescent="0.2">
      <c r="H613" s="1124"/>
      <c r="I613" s="1124"/>
      <c r="J613" s="1124"/>
      <c r="K613" s="969"/>
      <c r="L613" s="969"/>
      <c r="M613" s="969"/>
      <c r="N613" s="969"/>
      <c r="O613" s="969"/>
      <c r="P613" s="969"/>
      <c r="Q613" s="969"/>
    </row>
    <row r="614" spans="8:17" s="970" customFormat="1" x14ac:dyDescent="0.2">
      <c r="H614" s="1124"/>
      <c r="I614" s="1124"/>
      <c r="J614" s="1124"/>
      <c r="K614" s="969"/>
      <c r="L614" s="969"/>
      <c r="M614" s="969"/>
      <c r="N614" s="969"/>
      <c r="O614" s="969"/>
      <c r="P614" s="969"/>
      <c r="Q614" s="969"/>
    </row>
    <row r="615" spans="8:17" s="970" customFormat="1" x14ac:dyDescent="0.2">
      <c r="H615" s="1124"/>
      <c r="I615" s="1124"/>
      <c r="J615" s="1124"/>
      <c r="K615" s="969"/>
      <c r="L615" s="969"/>
      <c r="M615" s="969"/>
      <c r="N615" s="969"/>
      <c r="O615" s="969"/>
      <c r="P615" s="969"/>
      <c r="Q615" s="969"/>
    </row>
    <row r="616" spans="8:17" s="970" customFormat="1" x14ac:dyDescent="0.2">
      <c r="H616" s="1124"/>
      <c r="I616" s="1124"/>
      <c r="J616" s="1124"/>
      <c r="K616" s="969"/>
      <c r="L616" s="969"/>
      <c r="M616" s="969"/>
      <c r="N616" s="969"/>
      <c r="O616" s="969"/>
      <c r="P616" s="969"/>
      <c r="Q616" s="969"/>
    </row>
    <row r="617" spans="8:17" s="970" customFormat="1" x14ac:dyDescent="0.2">
      <c r="H617" s="1124"/>
      <c r="I617" s="1124"/>
      <c r="J617" s="1124"/>
      <c r="K617" s="969"/>
      <c r="L617" s="969"/>
      <c r="M617" s="969"/>
      <c r="N617" s="969"/>
      <c r="O617" s="969"/>
      <c r="P617" s="969"/>
      <c r="Q617" s="969"/>
    </row>
    <row r="618" spans="8:17" s="970" customFormat="1" x14ac:dyDescent="0.2">
      <c r="H618" s="1124"/>
      <c r="I618" s="1124"/>
      <c r="J618" s="1124"/>
      <c r="K618" s="969"/>
      <c r="L618" s="969"/>
      <c r="M618" s="969"/>
      <c r="N618" s="969"/>
      <c r="O618" s="969"/>
      <c r="P618" s="969"/>
      <c r="Q618" s="969"/>
    </row>
    <row r="619" spans="8:17" s="970" customFormat="1" x14ac:dyDescent="0.2">
      <c r="H619" s="1124"/>
      <c r="I619" s="1124"/>
      <c r="J619" s="1124"/>
      <c r="K619" s="969"/>
      <c r="L619" s="969"/>
      <c r="M619" s="969"/>
      <c r="N619" s="969"/>
      <c r="O619" s="969"/>
      <c r="P619" s="969"/>
      <c r="Q619" s="969"/>
    </row>
    <row r="620" spans="8:17" s="970" customFormat="1" x14ac:dyDescent="0.2">
      <c r="H620" s="1124"/>
      <c r="I620" s="1124"/>
      <c r="J620" s="1124"/>
      <c r="K620" s="969"/>
      <c r="L620" s="969"/>
      <c r="M620" s="969"/>
      <c r="N620" s="969"/>
      <c r="O620" s="969"/>
      <c r="P620" s="969"/>
      <c r="Q620" s="969"/>
    </row>
    <row r="621" spans="8:17" s="970" customFormat="1" x14ac:dyDescent="0.2">
      <c r="H621" s="1124"/>
      <c r="I621" s="1124"/>
      <c r="J621" s="1124"/>
      <c r="K621" s="969"/>
      <c r="L621" s="969"/>
      <c r="M621" s="969"/>
      <c r="N621" s="969"/>
      <c r="O621" s="969"/>
      <c r="P621" s="969"/>
      <c r="Q621" s="969"/>
    </row>
    <row r="622" spans="8:17" s="970" customFormat="1" x14ac:dyDescent="0.2">
      <c r="H622" s="1124"/>
      <c r="I622" s="1124"/>
      <c r="J622" s="1124"/>
      <c r="K622" s="969"/>
      <c r="L622" s="969"/>
      <c r="M622" s="969"/>
      <c r="N622" s="969"/>
      <c r="O622" s="969"/>
      <c r="P622" s="969"/>
      <c r="Q622" s="969"/>
    </row>
    <row r="623" spans="8:17" s="970" customFormat="1" x14ac:dyDescent="0.2">
      <c r="H623" s="1124"/>
      <c r="I623" s="1124"/>
      <c r="J623" s="1124"/>
      <c r="K623" s="969"/>
      <c r="L623" s="969"/>
      <c r="M623" s="969"/>
      <c r="N623" s="969"/>
      <c r="O623" s="969"/>
      <c r="P623" s="969"/>
      <c r="Q623" s="969"/>
    </row>
    <row r="624" spans="8:17" s="970" customFormat="1" x14ac:dyDescent="0.2">
      <c r="H624" s="1124"/>
      <c r="I624" s="1124"/>
      <c r="J624" s="1124"/>
      <c r="K624" s="969"/>
      <c r="L624" s="969"/>
      <c r="M624" s="969"/>
      <c r="N624" s="969"/>
      <c r="O624" s="969"/>
      <c r="P624" s="969"/>
      <c r="Q624" s="969"/>
    </row>
    <row r="625" spans="8:17" s="970" customFormat="1" x14ac:dyDescent="0.2">
      <c r="H625" s="1124"/>
      <c r="I625" s="1124"/>
      <c r="J625" s="1124"/>
      <c r="K625" s="969"/>
      <c r="L625" s="969"/>
      <c r="M625" s="969"/>
      <c r="N625" s="969"/>
      <c r="O625" s="969"/>
      <c r="P625" s="969"/>
      <c r="Q625" s="969"/>
    </row>
    <row r="626" spans="8:17" s="970" customFormat="1" x14ac:dyDescent="0.2">
      <c r="H626" s="1124"/>
      <c r="I626" s="1124"/>
      <c r="J626" s="1124"/>
      <c r="K626" s="969"/>
      <c r="L626" s="969"/>
      <c r="M626" s="969"/>
      <c r="N626" s="969"/>
      <c r="O626" s="969"/>
      <c r="P626" s="969"/>
      <c r="Q626" s="969"/>
    </row>
    <row r="627" spans="8:17" s="970" customFormat="1" x14ac:dyDescent="0.2">
      <c r="H627" s="1124"/>
      <c r="I627" s="1124"/>
      <c r="J627" s="1124"/>
      <c r="K627" s="969"/>
      <c r="L627" s="969"/>
      <c r="M627" s="969"/>
      <c r="N627" s="969"/>
      <c r="O627" s="969"/>
      <c r="P627" s="969"/>
      <c r="Q627" s="969"/>
    </row>
    <row r="628" spans="8:17" s="970" customFormat="1" x14ac:dyDescent="0.2">
      <c r="H628" s="1124"/>
      <c r="I628" s="1124"/>
      <c r="J628" s="1124"/>
      <c r="K628" s="969"/>
      <c r="L628" s="969"/>
      <c r="M628" s="969"/>
      <c r="N628" s="969"/>
      <c r="O628" s="969"/>
      <c r="P628" s="969"/>
      <c r="Q628" s="969"/>
    </row>
    <row r="629" spans="8:17" s="970" customFormat="1" x14ac:dyDescent="0.2">
      <c r="H629" s="1124"/>
      <c r="I629" s="1124"/>
      <c r="J629" s="1124"/>
      <c r="K629" s="969"/>
      <c r="L629" s="969"/>
      <c r="M629" s="969"/>
      <c r="N629" s="969"/>
      <c r="O629" s="969"/>
      <c r="P629" s="969"/>
      <c r="Q629" s="969"/>
    </row>
    <row r="630" spans="8:17" s="970" customFormat="1" x14ac:dyDescent="0.2">
      <c r="H630" s="1124"/>
      <c r="I630" s="1124"/>
      <c r="J630" s="1124"/>
      <c r="K630" s="969"/>
      <c r="L630" s="969"/>
      <c r="M630" s="969"/>
      <c r="N630" s="969"/>
      <c r="O630" s="969"/>
      <c r="P630" s="969"/>
      <c r="Q630" s="969"/>
    </row>
    <row r="631" spans="8:17" s="970" customFormat="1" x14ac:dyDescent="0.2">
      <c r="H631" s="1124"/>
      <c r="I631" s="1124"/>
      <c r="J631" s="1124"/>
      <c r="K631" s="969"/>
      <c r="L631" s="969"/>
      <c r="M631" s="969"/>
      <c r="N631" s="969"/>
      <c r="O631" s="969"/>
      <c r="P631" s="969"/>
      <c r="Q631" s="969"/>
    </row>
    <row r="632" spans="8:17" s="970" customFormat="1" x14ac:dyDescent="0.2">
      <c r="H632" s="1124"/>
      <c r="I632" s="1124"/>
      <c r="J632" s="1124"/>
      <c r="K632" s="969"/>
      <c r="L632" s="969"/>
      <c r="M632" s="969"/>
      <c r="N632" s="969"/>
      <c r="O632" s="969"/>
      <c r="P632" s="969"/>
      <c r="Q632" s="969"/>
    </row>
    <row r="633" spans="8:17" s="970" customFormat="1" x14ac:dyDescent="0.2">
      <c r="H633" s="1124"/>
      <c r="I633" s="1124"/>
      <c r="J633" s="1124"/>
      <c r="K633" s="969"/>
      <c r="L633" s="969"/>
      <c r="M633" s="969"/>
      <c r="N633" s="969"/>
      <c r="O633" s="969"/>
      <c r="P633" s="969"/>
      <c r="Q633" s="969"/>
    </row>
    <row r="634" spans="8:17" s="970" customFormat="1" x14ac:dyDescent="0.2">
      <c r="H634" s="1124"/>
      <c r="I634" s="1124"/>
      <c r="J634" s="1124"/>
      <c r="K634" s="969"/>
      <c r="L634" s="969"/>
      <c r="M634" s="969"/>
      <c r="N634" s="969"/>
      <c r="O634" s="969"/>
      <c r="P634" s="969"/>
      <c r="Q634" s="969"/>
    </row>
    <row r="635" spans="8:17" s="970" customFormat="1" x14ac:dyDescent="0.2">
      <c r="H635" s="1124"/>
      <c r="I635" s="1124"/>
      <c r="J635" s="1124"/>
      <c r="K635" s="969"/>
      <c r="L635" s="969"/>
      <c r="M635" s="969"/>
      <c r="N635" s="969"/>
      <c r="O635" s="969"/>
      <c r="P635" s="969"/>
      <c r="Q635" s="969"/>
    </row>
    <row r="636" spans="8:17" s="970" customFormat="1" x14ac:dyDescent="0.2">
      <c r="H636" s="1124"/>
      <c r="I636" s="1124"/>
      <c r="J636" s="1124"/>
      <c r="K636" s="969"/>
      <c r="L636" s="969"/>
      <c r="M636" s="969"/>
      <c r="N636" s="969"/>
      <c r="O636" s="969"/>
      <c r="P636" s="969"/>
      <c r="Q636" s="969"/>
    </row>
    <row r="637" spans="8:17" s="970" customFormat="1" x14ac:dyDescent="0.2">
      <c r="H637" s="1124"/>
      <c r="I637" s="1124"/>
      <c r="J637" s="1124"/>
      <c r="K637" s="969"/>
      <c r="L637" s="969"/>
      <c r="M637" s="969"/>
      <c r="N637" s="969"/>
      <c r="O637" s="969"/>
      <c r="P637" s="969"/>
      <c r="Q637" s="969"/>
    </row>
    <row r="638" spans="8:17" s="970" customFormat="1" x14ac:dyDescent="0.2">
      <c r="H638" s="1124"/>
      <c r="I638" s="1124"/>
      <c r="J638" s="1124"/>
      <c r="K638" s="969"/>
      <c r="L638" s="969"/>
      <c r="M638" s="969"/>
      <c r="N638" s="969"/>
      <c r="O638" s="969"/>
      <c r="P638" s="969"/>
      <c r="Q638" s="969"/>
    </row>
    <row r="639" spans="8:17" s="970" customFormat="1" x14ac:dyDescent="0.2">
      <c r="H639" s="1124"/>
      <c r="I639" s="1124"/>
      <c r="J639" s="1124"/>
      <c r="K639" s="969"/>
      <c r="L639" s="969"/>
      <c r="M639" s="969"/>
      <c r="N639" s="969"/>
      <c r="O639" s="969"/>
      <c r="P639" s="969"/>
      <c r="Q639" s="969"/>
    </row>
    <row r="640" spans="8:17" s="970" customFormat="1" x14ac:dyDescent="0.2">
      <c r="H640" s="1124"/>
      <c r="I640" s="1124"/>
      <c r="J640" s="1124"/>
      <c r="K640" s="969"/>
      <c r="L640" s="969"/>
      <c r="M640" s="969"/>
      <c r="N640" s="969"/>
      <c r="O640" s="969"/>
      <c r="P640" s="969"/>
      <c r="Q640" s="969"/>
    </row>
    <row r="641" spans="8:17" s="970" customFormat="1" x14ac:dyDescent="0.2">
      <c r="H641" s="1124"/>
      <c r="I641" s="1124"/>
      <c r="J641" s="1124"/>
      <c r="K641" s="969"/>
      <c r="L641" s="969"/>
      <c r="M641" s="969"/>
      <c r="N641" s="969"/>
      <c r="O641" s="969"/>
      <c r="P641" s="969"/>
      <c r="Q641" s="969"/>
    </row>
    <row r="642" spans="8:17" s="970" customFormat="1" x14ac:dyDescent="0.2">
      <c r="H642" s="1124"/>
      <c r="I642" s="1124"/>
      <c r="J642" s="1124"/>
      <c r="K642" s="969"/>
      <c r="L642" s="969"/>
      <c r="M642" s="969"/>
      <c r="N642" s="969"/>
      <c r="O642" s="969"/>
      <c r="P642" s="969"/>
      <c r="Q642" s="969"/>
    </row>
    <row r="643" spans="8:17" s="970" customFormat="1" x14ac:dyDescent="0.2">
      <c r="H643" s="1124"/>
      <c r="I643" s="1124"/>
      <c r="J643" s="1124"/>
      <c r="K643" s="969"/>
      <c r="L643" s="969"/>
      <c r="M643" s="969"/>
      <c r="N643" s="969"/>
      <c r="O643" s="969"/>
      <c r="P643" s="969"/>
      <c r="Q643" s="969"/>
    </row>
    <row r="644" spans="8:17" s="970" customFormat="1" x14ac:dyDescent="0.2">
      <c r="H644" s="1124"/>
      <c r="I644" s="1124"/>
      <c r="J644" s="1124"/>
      <c r="K644" s="969"/>
      <c r="L644" s="969"/>
      <c r="M644" s="969"/>
      <c r="N644" s="969"/>
      <c r="O644" s="969"/>
      <c r="P644" s="969"/>
      <c r="Q644" s="969"/>
    </row>
    <row r="645" spans="8:17" s="970" customFormat="1" x14ac:dyDescent="0.2">
      <c r="H645" s="1124"/>
      <c r="I645" s="1124"/>
      <c r="J645" s="1124"/>
      <c r="K645" s="969"/>
      <c r="L645" s="969"/>
      <c r="M645" s="969"/>
      <c r="N645" s="969"/>
      <c r="O645" s="969"/>
      <c r="P645" s="969"/>
      <c r="Q645" s="969"/>
    </row>
    <row r="646" spans="8:17" s="970" customFormat="1" x14ac:dyDescent="0.2">
      <c r="H646" s="1124"/>
      <c r="I646" s="1124"/>
      <c r="J646" s="1124"/>
      <c r="K646" s="969"/>
      <c r="L646" s="969"/>
      <c r="M646" s="969"/>
      <c r="N646" s="969"/>
      <c r="O646" s="969"/>
      <c r="P646" s="969"/>
      <c r="Q646" s="969"/>
    </row>
    <row r="647" spans="8:17" s="970" customFormat="1" x14ac:dyDescent="0.2">
      <c r="H647" s="1124"/>
      <c r="I647" s="1124"/>
      <c r="J647" s="1124"/>
      <c r="K647" s="969"/>
      <c r="L647" s="969"/>
      <c r="M647" s="969"/>
      <c r="N647" s="969"/>
      <c r="O647" s="969"/>
      <c r="P647" s="969"/>
      <c r="Q647" s="969"/>
    </row>
    <row r="648" spans="8:17" s="970" customFormat="1" x14ac:dyDescent="0.2">
      <c r="H648" s="1124"/>
      <c r="I648" s="1124"/>
      <c r="J648" s="1124"/>
      <c r="K648" s="969"/>
      <c r="L648" s="969"/>
      <c r="M648" s="969"/>
      <c r="N648" s="969"/>
      <c r="O648" s="969"/>
      <c r="P648" s="969"/>
      <c r="Q648" s="969"/>
    </row>
    <row r="649" spans="8:17" s="970" customFormat="1" x14ac:dyDescent="0.2">
      <c r="H649" s="1124"/>
      <c r="I649" s="1124"/>
      <c r="J649" s="1124"/>
      <c r="K649" s="969"/>
      <c r="L649" s="969"/>
      <c r="M649" s="969"/>
      <c r="N649" s="969"/>
      <c r="O649" s="969"/>
      <c r="P649" s="969"/>
      <c r="Q649" s="969"/>
    </row>
    <row r="650" spans="8:17" s="970" customFormat="1" x14ac:dyDescent="0.2">
      <c r="H650" s="1124"/>
      <c r="I650" s="1124"/>
      <c r="J650" s="1124"/>
      <c r="K650" s="969"/>
      <c r="L650" s="969"/>
      <c r="M650" s="969"/>
      <c r="N650" s="969"/>
      <c r="O650" s="969"/>
      <c r="P650" s="969"/>
      <c r="Q650" s="969"/>
    </row>
    <row r="651" spans="8:17" s="970" customFormat="1" x14ac:dyDescent="0.2">
      <c r="H651" s="1124"/>
      <c r="I651" s="1124"/>
      <c r="J651" s="1124"/>
      <c r="K651" s="969"/>
      <c r="L651" s="969"/>
      <c r="M651" s="969"/>
      <c r="N651" s="969"/>
      <c r="O651" s="969"/>
      <c r="P651" s="969"/>
      <c r="Q651" s="969"/>
    </row>
    <row r="652" spans="8:17" s="970" customFormat="1" x14ac:dyDescent="0.2">
      <c r="H652" s="1124"/>
      <c r="I652" s="1124"/>
      <c r="J652" s="1124"/>
      <c r="K652" s="969"/>
      <c r="L652" s="969"/>
      <c r="M652" s="969"/>
      <c r="N652" s="969"/>
      <c r="O652" s="969"/>
      <c r="P652" s="969"/>
      <c r="Q652" s="969"/>
    </row>
    <row r="653" spans="8:17" s="970" customFormat="1" x14ac:dyDescent="0.2">
      <c r="H653" s="1124"/>
      <c r="I653" s="1124"/>
      <c r="J653" s="1124"/>
      <c r="K653" s="969"/>
      <c r="L653" s="969"/>
      <c r="M653" s="969"/>
      <c r="N653" s="969"/>
      <c r="O653" s="969"/>
      <c r="P653" s="969"/>
      <c r="Q653" s="969"/>
    </row>
    <row r="654" spans="8:17" s="970" customFormat="1" x14ac:dyDescent="0.2">
      <c r="H654" s="1124"/>
      <c r="I654" s="1124"/>
      <c r="J654" s="1124"/>
      <c r="K654" s="969"/>
      <c r="L654" s="969"/>
      <c r="M654" s="969"/>
      <c r="N654" s="969"/>
      <c r="O654" s="969"/>
      <c r="P654" s="969"/>
      <c r="Q654" s="969"/>
    </row>
    <row r="655" spans="8:17" s="970" customFormat="1" x14ac:dyDescent="0.2">
      <c r="H655" s="1124"/>
      <c r="I655" s="1124"/>
      <c r="J655" s="1124"/>
      <c r="K655" s="969"/>
      <c r="L655" s="969"/>
      <c r="M655" s="969"/>
      <c r="N655" s="969"/>
      <c r="O655" s="969"/>
      <c r="P655" s="969"/>
      <c r="Q655" s="969"/>
    </row>
    <row r="656" spans="8:17" s="970" customFormat="1" x14ac:dyDescent="0.2">
      <c r="H656" s="1124"/>
      <c r="I656" s="1124"/>
      <c r="J656" s="1124"/>
      <c r="K656" s="969"/>
      <c r="L656" s="969"/>
      <c r="M656" s="969"/>
      <c r="N656" s="969"/>
      <c r="O656" s="969"/>
      <c r="P656" s="969"/>
      <c r="Q656" s="969"/>
    </row>
    <row r="657" spans="8:17" s="970" customFormat="1" x14ac:dyDescent="0.2">
      <c r="H657" s="1124"/>
      <c r="I657" s="1124"/>
      <c r="J657" s="1124"/>
      <c r="K657" s="969"/>
      <c r="L657" s="969"/>
      <c r="M657" s="969"/>
      <c r="N657" s="969"/>
      <c r="O657" s="969"/>
      <c r="P657" s="969"/>
      <c r="Q657" s="969"/>
    </row>
    <row r="658" spans="8:17" s="970" customFormat="1" x14ac:dyDescent="0.2">
      <c r="H658" s="1124"/>
      <c r="I658" s="1124"/>
      <c r="J658" s="1124"/>
      <c r="K658" s="969"/>
      <c r="L658" s="969"/>
      <c r="M658" s="969"/>
      <c r="N658" s="969"/>
      <c r="O658" s="969"/>
      <c r="P658" s="969"/>
      <c r="Q658" s="969"/>
    </row>
    <row r="659" spans="8:17" s="970" customFormat="1" x14ac:dyDescent="0.2">
      <c r="H659" s="1124"/>
      <c r="I659" s="1124"/>
      <c r="J659" s="1124"/>
      <c r="K659" s="969"/>
      <c r="L659" s="969"/>
      <c r="M659" s="969"/>
      <c r="N659" s="969"/>
      <c r="O659" s="969"/>
      <c r="P659" s="969"/>
      <c r="Q659" s="969"/>
    </row>
    <row r="660" spans="8:17" s="970" customFormat="1" x14ac:dyDescent="0.2">
      <c r="H660" s="1124"/>
      <c r="I660" s="1124"/>
      <c r="J660" s="1124"/>
      <c r="K660" s="969"/>
      <c r="L660" s="969"/>
      <c r="M660" s="969"/>
      <c r="N660" s="969"/>
      <c r="O660" s="969"/>
      <c r="P660" s="969"/>
      <c r="Q660" s="969"/>
    </row>
    <row r="661" spans="8:17" s="970" customFormat="1" x14ac:dyDescent="0.2">
      <c r="H661" s="1124"/>
      <c r="I661" s="1124"/>
      <c r="J661" s="1124"/>
      <c r="K661" s="969"/>
      <c r="L661" s="969"/>
      <c r="M661" s="969"/>
      <c r="N661" s="969"/>
      <c r="O661" s="969"/>
      <c r="P661" s="969"/>
      <c r="Q661" s="969"/>
    </row>
    <row r="662" spans="8:17" s="970" customFormat="1" x14ac:dyDescent="0.2">
      <c r="H662" s="1124"/>
      <c r="I662" s="1124"/>
      <c r="J662" s="1124"/>
      <c r="K662" s="969"/>
      <c r="L662" s="969"/>
      <c r="M662" s="969"/>
      <c r="N662" s="969"/>
      <c r="O662" s="969"/>
      <c r="P662" s="969"/>
      <c r="Q662" s="969"/>
    </row>
    <row r="663" spans="8:17" s="970" customFormat="1" x14ac:dyDescent="0.2">
      <c r="H663" s="1124"/>
      <c r="I663" s="1124"/>
      <c r="J663" s="1124"/>
      <c r="K663" s="969"/>
      <c r="L663" s="969"/>
      <c r="M663" s="969"/>
      <c r="N663" s="969"/>
      <c r="O663" s="969"/>
      <c r="P663" s="969"/>
      <c r="Q663" s="969"/>
    </row>
    <row r="664" spans="8:17" s="970" customFormat="1" x14ac:dyDescent="0.2">
      <c r="H664" s="1124"/>
      <c r="I664" s="1124"/>
      <c r="J664" s="1124"/>
      <c r="K664" s="969"/>
      <c r="L664" s="969"/>
      <c r="M664" s="969"/>
      <c r="N664" s="969"/>
      <c r="O664" s="969"/>
      <c r="P664" s="969"/>
      <c r="Q664" s="969"/>
    </row>
    <row r="665" spans="8:17" s="970" customFormat="1" x14ac:dyDescent="0.2">
      <c r="H665" s="1124"/>
      <c r="I665" s="1124"/>
      <c r="J665" s="1124"/>
      <c r="K665" s="969"/>
      <c r="L665" s="969"/>
      <c r="M665" s="969"/>
      <c r="N665" s="969"/>
      <c r="O665" s="969"/>
      <c r="P665" s="969"/>
      <c r="Q665" s="969"/>
    </row>
    <row r="666" spans="8:17" s="970" customFormat="1" x14ac:dyDescent="0.2">
      <c r="H666" s="1124"/>
      <c r="I666" s="1124"/>
      <c r="J666" s="1124"/>
      <c r="K666" s="969"/>
      <c r="L666" s="969"/>
      <c r="M666" s="969"/>
      <c r="N666" s="969"/>
      <c r="O666" s="969"/>
      <c r="P666" s="969"/>
      <c r="Q666" s="969"/>
    </row>
    <row r="667" spans="8:17" s="970" customFormat="1" x14ac:dyDescent="0.2">
      <c r="H667" s="1124"/>
      <c r="I667" s="1124"/>
      <c r="J667" s="1124"/>
      <c r="K667" s="969"/>
      <c r="L667" s="969"/>
      <c r="M667" s="969"/>
      <c r="N667" s="969"/>
      <c r="O667" s="969"/>
      <c r="P667" s="969"/>
      <c r="Q667" s="969"/>
    </row>
    <row r="668" spans="8:17" s="970" customFormat="1" x14ac:dyDescent="0.2">
      <c r="H668" s="1124"/>
      <c r="I668" s="1124"/>
      <c r="J668" s="1124"/>
      <c r="K668" s="969"/>
      <c r="L668" s="969"/>
      <c r="M668" s="969"/>
      <c r="N668" s="969"/>
      <c r="O668" s="969"/>
      <c r="P668" s="969"/>
      <c r="Q668" s="969"/>
    </row>
    <row r="669" spans="8:17" s="970" customFormat="1" x14ac:dyDescent="0.2">
      <c r="H669" s="1124"/>
      <c r="I669" s="1124"/>
      <c r="J669" s="1124"/>
      <c r="K669" s="969"/>
      <c r="L669" s="969"/>
      <c r="M669" s="969"/>
      <c r="N669" s="969"/>
      <c r="O669" s="969"/>
      <c r="P669" s="969"/>
      <c r="Q669" s="969"/>
    </row>
    <row r="670" spans="8:17" s="970" customFormat="1" x14ac:dyDescent="0.2">
      <c r="H670" s="1124"/>
      <c r="I670" s="1124"/>
      <c r="J670" s="1124"/>
      <c r="K670" s="969"/>
      <c r="L670" s="969"/>
      <c r="M670" s="969"/>
      <c r="N670" s="969"/>
      <c r="O670" s="969"/>
      <c r="P670" s="969"/>
      <c r="Q670" s="969"/>
    </row>
    <row r="671" spans="8:17" s="970" customFormat="1" x14ac:dyDescent="0.2">
      <c r="H671" s="1124"/>
      <c r="I671" s="1124"/>
      <c r="J671" s="1124"/>
      <c r="K671" s="969"/>
      <c r="L671" s="969"/>
      <c r="M671" s="969"/>
      <c r="N671" s="969"/>
      <c r="O671" s="969"/>
      <c r="P671" s="969"/>
      <c r="Q671" s="969"/>
    </row>
    <row r="672" spans="8:17" s="970" customFormat="1" x14ac:dyDescent="0.2">
      <c r="H672" s="1124"/>
      <c r="I672" s="1124"/>
      <c r="J672" s="1124"/>
      <c r="K672" s="969"/>
      <c r="L672" s="969"/>
      <c r="M672" s="969"/>
      <c r="N672" s="969"/>
      <c r="O672" s="969"/>
      <c r="P672" s="969"/>
      <c r="Q672" s="969"/>
    </row>
    <row r="673" spans="8:17" s="970" customFormat="1" x14ac:dyDescent="0.2">
      <c r="H673" s="1124"/>
      <c r="I673" s="1124"/>
      <c r="J673" s="1124"/>
      <c r="K673" s="969"/>
      <c r="L673" s="969"/>
      <c r="M673" s="969"/>
      <c r="N673" s="969"/>
      <c r="O673" s="969"/>
      <c r="P673" s="969"/>
      <c r="Q673" s="969"/>
    </row>
    <row r="674" spans="8:17" s="970" customFormat="1" x14ac:dyDescent="0.2">
      <c r="H674" s="1124"/>
      <c r="I674" s="1124"/>
      <c r="J674" s="1124"/>
      <c r="K674" s="969"/>
      <c r="L674" s="969"/>
      <c r="M674" s="969"/>
      <c r="N674" s="969"/>
      <c r="O674" s="969"/>
      <c r="P674" s="969"/>
      <c r="Q674" s="969"/>
    </row>
    <row r="675" spans="8:17" s="970" customFormat="1" x14ac:dyDescent="0.2">
      <c r="H675" s="1124"/>
      <c r="I675" s="1124"/>
      <c r="J675" s="1124"/>
      <c r="K675" s="969"/>
      <c r="L675" s="969"/>
      <c r="M675" s="969"/>
      <c r="N675" s="969"/>
      <c r="O675" s="969"/>
      <c r="P675" s="969"/>
      <c r="Q675" s="969"/>
    </row>
    <row r="676" spans="8:17" s="970" customFormat="1" x14ac:dyDescent="0.2">
      <c r="H676" s="1124"/>
      <c r="I676" s="1124"/>
      <c r="J676" s="1124"/>
      <c r="K676" s="969"/>
      <c r="L676" s="969"/>
      <c r="M676" s="969"/>
      <c r="N676" s="969"/>
      <c r="O676" s="969"/>
      <c r="P676" s="969"/>
      <c r="Q676" s="969"/>
    </row>
    <row r="677" spans="8:17" s="970" customFormat="1" x14ac:dyDescent="0.2">
      <c r="H677" s="1124"/>
      <c r="I677" s="1124"/>
      <c r="J677" s="1124"/>
      <c r="K677" s="969"/>
      <c r="L677" s="969"/>
      <c r="M677" s="969"/>
      <c r="N677" s="969"/>
      <c r="O677" s="969"/>
      <c r="P677" s="969"/>
      <c r="Q677" s="969"/>
    </row>
    <row r="678" spans="8:17" s="970" customFormat="1" x14ac:dyDescent="0.2">
      <c r="H678" s="1124"/>
      <c r="I678" s="1124"/>
      <c r="J678" s="1124"/>
      <c r="K678" s="969"/>
      <c r="L678" s="969"/>
      <c r="M678" s="969"/>
      <c r="N678" s="969"/>
      <c r="O678" s="969"/>
      <c r="P678" s="969"/>
      <c r="Q678" s="969"/>
    </row>
    <row r="679" spans="8:17" s="970" customFormat="1" x14ac:dyDescent="0.2">
      <c r="H679" s="1124"/>
      <c r="I679" s="1124"/>
      <c r="J679" s="1124"/>
      <c r="K679" s="969"/>
      <c r="L679" s="969"/>
      <c r="M679" s="969"/>
      <c r="N679" s="969"/>
      <c r="O679" s="969"/>
      <c r="P679" s="969"/>
      <c r="Q679" s="969"/>
    </row>
    <row r="680" spans="8:17" s="970" customFormat="1" x14ac:dyDescent="0.2">
      <c r="H680" s="1124"/>
      <c r="I680" s="1124"/>
      <c r="J680" s="1124"/>
      <c r="K680" s="969"/>
      <c r="L680" s="969"/>
      <c r="M680" s="969"/>
      <c r="N680" s="969"/>
      <c r="O680" s="969"/>
      <c r="P680" s="969"/>
      <c r="Q680" s="969"/>
    </row>
    <row r="681" spans="8:17" s="970" customFormat="1" x14ac:dyDescent="0.2">
      <c r="H681" s="1124"/>
      <c r="I681" s="1124"/>
      <c r="J681" s="1124"/>
      <c r="K681" s="969"/>
      <c r="L681" s="969"/>
      <c r="M681" s="969"/>
      <c r="N681" s="969"/>
      <c r="O681" s="969"/>
      <c r="P681" s="969"/>
      <c r="Q681" s="969"/>
    </row>
    <row r="682" spans="8:17" s="970" customFormat="1" x14ac:dyDescent="0.2">
      <c r="H682" s="1124"/>
      <c r="I682" s="1124"/>
      <c r="J682" s="1124"/>
      <c r="K682" s="969"/>
      <c r="L682" s="969"/>
      <c r="M682" s="969"/>
      <c r="N682" s="969"/>
      <c r="O682" s="969"/>
      <c r="P682" s="969"/>
      <c r="Q682" s="969"/>
    </row>
    <row r="683" spans="8:17" s="970" customFormat="1" x14ac:dyDescent="0.2">
      <c r="H683" s="1124"/>
      <c r="I683" s="1124"/>
      <c r="J683" s="1124"/>
      <c r="K683" s="969"/>
      <c r="L683" s="969"/>
      <c r="M683" s="969"/>
      <c r="N683" s="969"/>
      <c r="O683" s="969"/>
      <c r="P683" s="969"/>
      <c r="Q683" s="969"/>
    </row>
    <row r="684" spans="8:17" s="970" customFormat="1" x14ac:dyDescent="0.2">
      <c r="H684" s="1124"/>
      <c r="I684" s="1124"/>
      <c r="J684" s="1124"/>
      <c r="K684" s="969"/>
      <c r="L684" s="969"/>
      <c r="M684" s="969"/>
      <c r="N684" s="969"/>
      <c r="O684" s="969"/>
      <c r="P684" s="969"/>
      <c r="Q684" s="969"/>
    </row>
    <row r="685" spans="8:17" s="970" customFormat="1" x14ac:dyDescent="0.2">
      <c r="H685" s="1124"/>
      <c r="I685" s="1124"/>
      <c r="J685" s="1124"/>
      <c r="K685" s="969"/>
      <c r="L685" s="969"/>
      <c r="M685" s="969"/>
      <c r="N685" s="969"/>
      <c r="O685" s="969"/>
      <c r="P685" s="969"/>
      <c r="Q685" s="969"/>
    </row>
    <row r="686" spans="8:17" s="970" customFormat="1" x14ac:dyDescent="0.2">
      <c r="H686" s="1124"/>
      <c r="I686" s="1124"/>
      <c r="J686" s="1124"/>
      <c r="K686" s="969"/>
      <c r="L686" s="969"/>
      <c r="M686" s="969"/>
      <c r="N686" s="969"/>
      <c r="O686" s="969"/>
      <c r="P686" s="969"/>
      <c r="Q686" s="969"/>
    </row>
    <row r="687" spans="8:17" s="970" customFormat="1" x14ac:dyDescent="0.2">
      <c r="H687" s="1124"/>
      <c r="I687" s="1124"/>
      <c r="J687" s="1124"/>
      <c r="K687" s="969"/>
      <c r="L687" s="969"/>
      <c r="M687" s="969"/>
      <c r="N687" s="969"/>
      <c r="O687" s="969"/>
      <c r="P687" s="969"/>
      <c r="Q687" s="969"/>
    </row>
    <row r="688" spans="8:17" s="970" customFormat="1" x14ac:dyDescent="0.2">
      <c r="H688" s="1124"/>
      <c r="I688" s="1124"/>
      <c r="J688" s="1124"/>
      <c r="K688" s="969"/>
      <c r="L688" s="969"/>
      <c r="M688" s="969"/>
      <c r="N688" s="969"/>
      <c r="O688" s="969"/>
      <c r="P688" s="969"/>
      <c r="Q688" s="969"/>
    </row>
    <row r="689" spans="8:17" s="970" customFormat="1" x14ac:dyDescent="0.2">
      <c r="H689" s="1124"/>
      <c r="I689" s="1124"/>
      <c r="J689" s="1124"/>
      <c r="K689" s="969"/>
      <c r="L689" s="969"/>
      <c r="M689" s="969"/>
      <c r="N689" s="969"/>
      <c r="O689" s="969"/>
      <c r="P689" s="969"/>
      <c r="Q689" s="969"/>
    </row>
    <row r="690" spans="8:17" s="970" customFormat="1" x14ac:dyDescent="0.2">
      <c r="H690" s="1124"/>
      <c r="I690" s="1124"/>
      <c r="J690" s="1124"/>
      <c r="K690" s="969"/>
      <c r="L690" s="969"/>
      <c r="M690" s="969"/>
      <c r="N690" s="969"/>
      <c r="O690" s="969"/>
      <c r="P690" s="969"/>
      <c r="Q690" s="969"/>
    </row>
    <row r="691" spans="8:17" s="970" customFormat="1" x14ac:dyDescent="0.2">
      <c r="H691" s="1124"/>
      <c r="I691" s="1124"/>
      <c r="J691" s="1124"/>
      <c r="K691" s="969"/>
      <c r="L691" s="969"/>
      <c r="M691" s="969"/>
      <c r="N691" s="969"/>
      <c r="O691" s="969"/>
      <c r="P691" s="969"/>
      <c r="Q691" s="969"/>
    </row>
    <row r="692" spans="8:17" s="970" customFormat="1" x14ac:dyDescent="0.2">
      <c r="H692" s="1124"/>
      <c r="I692" s="1124"/>
      <c r="J692" s="1124"/>
      <c r="K692" s="969"/>
      <c r="L692" s="969"/>
      <c r="M692" s="969"/>
      <c r="N692" s="969"/>
      <c r="O692" s="969"/>
      <c r="P692" s="969"/>
      <c r="Q692" s="969"/>
    </row>
    <row r="693" spans="8:17" s="970" customFormat="1" x14ac:dyDescent="0.2">
      <c r="H693" s="1124"/>
      <c r="I693" s="1124"/>
      <c r="J693" s="1124"/>
      <c r="K693" s="969"/>
      <c r="L693" s="969"/>
      <c r="M693" s="969"/>
      <c r="N693" s="969"/>
      <c r="O693" s="969"/>
      <c r="P693" s="969"/>
      <c r="Q693" s="969"/>
    </row>
    <row r="694" spans="8:17" s="970" customFormat="1" x14ac:dyDescent="0.2">
      <c r="H694" s="1124"/>
      <c r="I694" s="1124"/>
      <c r="J694" s="1124"/>
      <c r="K694" s="969"/>
      <c r="L694" s="969"/>
      <c r="M694" s="969"/>
      <c r="N694" s="969"/>
      <c r="O694" s="969"/>
      <c r="P694" s="969"/>
      <c r="Q694" s="969"/>
    </row>
    <row r="695" spans="8:17" s="970" customFormat="1" x14ac:dyDescent="0.2">
      <c r="H695" s="1124"/>
      <c r="I695" s="1124"/>
      <c r="J695" s="1124"/>
      <c r="K695" s="969"/>
      <c r="L695" s="969"/>
      <c r="M695" s="969"/>
      <c r="N695" s="969"/>
      <c r="O695" s="969"/>
      <c r="P695" s="969"/>
      <c r="Q695" s="969"/>
    </row>
    <row r="696" spans="8:17" s="970" customFormat="1" x14ac:dyDescent="0.2">
      <c r="H696" s="1124"/>
      <c r="I696" s="1124"/>
      <c r="J696" s="1124"/>
      <c r="K696" s="969"/>
      <c r="L696" s="969"/>
      <c r="M696" s="969"/>
      <c r="N696" s="969"/>
      <c r="O696" s="969"/>
      <c r="P696" s="969"/>
      <c r="Q696" s="969"/>
    </row>
    <row r="697" spans="8:17" s="970" customFormat="1" x14ac:dyDescent="0.2">
      <c r="H697" s="1124"/>
      <c r="I697" s="1124"/>
      <c r="J697" s="1124"/>
      <c r="K697" s="969"/>
      <c r="L697" s="969"/>
      <c r="M697" s="969"/>
      <c r="N697" s="969"/>
      <c r="O697" s="969"/>
      <c r="P697" s="969"/>
      <c r="Q697" s="969"/>
    </row>
    <row r="698" spans="8:17" s="970" customFormat="1" x14ac:dyDescent="0.2">
      <c r="H698" s="1124"/>
      <c r="I698" s="1124"/>
      <c r="J698" s="1124"/>
      <c r="K698" s="969"/>
      <c r="L698" s="969"/>
      <c r="M698" s="969"/>
      <c r="N698" s="969"/>
      <c r="O698" s="969"/>
      <c r="P698" s="969"/>
      <c r="Q698" s="969"/>
    </row>
    <row r="699" spans="8:17" s="970" customFormat="1" x14ac:dyDescent="0.2">
      <c r="H699" s="1124"/>
      <c r="I699" s="1124"/>
      <c r="J699" s="1124"/>
      <c r="K699" s="969"/>
      <c r="L699" s="969"/>
      <c r="M699" s="969"/>
      <c r="N699" s="969"/>
      <c r="O699" s="969"/>
      <c r="P699" s="969"/>
      <c r="Q699" s="969"/>
    </row>
    <row r="700" spans="8:17" s="970" customFormat="1" x14ac:dyDescent="0.2">
      <c r="H700" s="1124"/>
      <c r="I700" s="1124"/>
      <c r="J700" s="1124"/>
      <c r="K700" s="969"/>
      <c r="L700" s="969"/>
      <c r="M700" s="969"/>
      <c r="N700" s="969"/>
      <c r="O700" s="969"/>
      <c r="P700" s="969"/>
      <c r="Q700" s="969"/>
    </row>
    <row r="701" spans="8:17" s="970" customFormat="1" x14ac:dyDescent="0.2">
      <c r="H701" s="1124"/>
      <c r="I701" s="1124"/>
      <c r="J701" s="1124"/>
      <c r="K701" s="969"/>
      <c r="L701" s="969"/>
      <c r="M701" s="969"/>
      <c r="N701" s="969"/>
      <c r="O701" s="969"/>
      <c r="P701" s="969"/>
      <c r="Q701" s="969"/>
    </row>
    <row r="702" spans="8:17" s="970" customFormat="1" x14ac:dyDescent="0.2">
      <c r="H702" s="1124"/>
      <c r="I702" s="1124"/>
      <c r="J702" s="1124"/>
      <c r="K702" s="969"/>
      <c r="L702" s="969"/>
      <c r="M702" s="969"/>
      <c r="N702" s="969"/>
      <c r="O702" s="969"/>
      <c r="P702" s="969"/>
      <c r="Q702" s="969"/>
    </row>
    <row r="703" spans="8:17" s="970" customFormat="1" x14ac:dyDescent="0.2">
      <c r="H703" s="1124"/>
      <c r="I703" s="1124"/>
      <c r="J703" s="1124"/>
      <c r="K703" s="969"/>
      <c r="L703" s="969"/>
      <c r="M703" s="969"/>
      <c r="N703" s="969"/>
      <c r="O703" s="969"/>
      <c r="P703" s="969"/>
      <c r="Q703" s="969"/>
    </row>
    <row r="704" spans="8:17" s="970" customFormat="1" x14ac:dyDescent="0.2">
      <c r="H704" s="1124"/>
      <c r="I704" s="1124"/>
      <c r="J704" s="1124"/>
      <c r="K704" s="969"/>
      <c r="L704" s="969"/>
      <c r="M704" s="969"/>
      <c r="N704" s="969"/>
      <c r="O704" s="969"/>
      <c r="P704" s="969"/>
      <c r="Q704" s="969"/>
    </row>
    <row r="705" spans="8:17" s="970" customFormat="1" x14ac:dyDescent="0.2">
      <c r="H705" s="1124"/>
      <c r="I705" s="1124"/>
      <c r="J705" s="1124"/>
      <c r="K705" s="969"/>
      <c r="L705" s="969"/>
      <c r="M705" s="969"/>
      <c r="N705" s="969"/>
      <c r="O705" s="969"/>
      <c r="P705" s="969"/>
      <c r="Q705" s="969"/>
    </row>
    <row r="706" spans="8:17" s="970" customFormat="1" x14ac:dyDescent="0.2">
      <c r="H706" s="1124"/>
      <c r="I706" s="1124"/>
      <c r="J706" s="1124"/>
      <c r="K706" s="969"/>
      <c r="L706" s="969"/>
      <c r="M706" s="969"/>
      <c r="N706" s="969"/>
      <c r="O706" s="969"/>
      <c r="P706" s="969"/>
      <c r="Q706" s="969"/>
    </row>
    <row r="707" spans="8:17" s="970" customFormat="1" x14ac:dyDescent="0.2">
      <c r="H707" s="1124"/>
      <c r="I707" s="1124"/>
      <c r="J707" s="1124"/>
      <c r="K707" s="969"/>
      <c r="L707" s="969"/>
      <c r="M707" s="969"/>
      <c r="N707" s="969"/>
      <c r="O707" s="969"/>
      <c r="P707" s="969"/>
      <c r="Q707" s="969"/>
    </row>
    <row r="708" spans="8:17" s="970" customFormat="1" x14ac:dyDescent="0.2">
      <c r="H708" s="1124"/>
      <c r="I708" s="1124"/>
      <c r="J708" s="1124"/>
      <c r="K708" s="969"/>
      <c r="L708" s="969"/>
      <c r="M708" s="969"/>
      <c r="N708" s="969"/>
      <c r="O708" s="969"/>
      <c r="P708" s="969"/>
      <c r="Q708" s="969"/>
    </row>
    <row r="709" spans="8:17" s="970" customFormat="1" x14ac:dyDescent="0.2">
      <c r="H709" s="1124"/>
      <c r="I709" s="1124"/>
      <c r="J709" s="1124"/>
      <c r="K709" s="969"/>
      <c r="L709" s="969"/>
      <c r="M709" s="969"/>
      <c r="N709" s="969"/>
      <c r="O709" s="969"/>
      <c r="P709" s="969"/>
      <c r="Q709" s="969"/>
    </row>
    <row r="710" spans="8:17" s="970" customFormat="1" x14ac:dyDescent="0.2">
      <c r="H710" s="1124"/>
      <c r="I710" s="1124"/>
      <c r="J710" s="1124"/>
      <c r="K710" s="969"/>
      <c r="L710" s="969"/>
      <c r="M710" s="969"/>
      <c r="N710" s="969"/>
      <c r="O710" s="969"/>
      <c r="P710" s="969"/>
      <c r="Q710" s="969"/>
    </row>
  </sheetData>
  <sheetProtection password="EF5C" sheet="1" objects="1" scenarios="1"/>
  <mergeCells count="50">
    <mergeCell ref="I119:J119"/>
    <mergeCell ref="I121:J121"/>
    <mergeCell ref="J96:J98"/>
    <mergeCell ref="C50:F50"/>
    <mergeCell ref="B68:H68"/>
    <mergeCell ref="D52:F52"/>
    <mergeCell ref="C59:E60"/>
    <mergeCell ref="D81:F81"/>
    <mergeCell ref="D114:F114"/>
    <mergeCell ref="D55:F55"/>
    <mergeCell ref="D79:F79"/>
    <mergeCell ref="B64:B66"/>
    <mergeCell ref="D41:F41"/>
    <mergeCell ref="C1:F1"/>
    <mergeCell ref="C112:E112"/>
    <mergeCell ref="B4:D4"/>
    <mergeCell ref="C6:E6"/>
    <mergeCell ref="C7:E8"/>
    <mergeCell ref="C33:E34"/>
    <mergeCell ref="D104:F104"/>
    <mergeCell ref="C107:E107"/>
    <mergeCell ref="D109:F109"/>
    <mergeCell ref="D89:F89"/>
    <mergeCell ref="D91:F91"/>
    <mergeCell ref="D93:F93"/>
    <mergeCell ref="D95:F95"/>
    <mergeCell ref="D97:F97"/>
    <mergeCell ref="B70:B77"/>
    <mergeCell ref="B5:D5"/>
    <mergeCell ref="B10:C10"/>
    <mergeCell ref="D11:D14"/>
    <mergeCell ref="D37:F37"/>
    <mergeCell ref="D39:F39"/>
    <mergeCell ref="B31:H31"/>
    <mergeCell ref="D43:F43"/>
    <mergeCell ref="D45:F45"/>
    <mergeCell ref="D47:F47"/>
    <mergeCell ref="D49:F49"/>
    <mergeCell ref="D125:F125"/>
    <mergeCell ref="B119:G119"/>
    <mergeCell ref="B121:G121"/>
    <mergeCell ref="C123:E123"/>
    <mergeCell ref="D117:F117"/>
    <mergeCell ref="C102:E102"/>
    <mergeCell ref="D83:F83"/>
    <mergeCell ref="B84:B85"/>
    <mergeCell ref="D86:F86"/>
    <mergeCell ref="B87:B88"/>
    <mergeCell ref="D51:F51"/>
    <mergeCell ref="B56:H56"/>
  </mergeCells>
  <dataValidations count="1">
    <dataValidation type="list" allowBlank="1" showInputMessage="1" showErrorMessage="1" sqref="D16:D18 D20 D23:D29">
      <formula1>"Select…,per hour,per child,lump sum"</formula1>
    </dataValidation>
  </dataValidations>
  <printOptions horizontalCentered="1"/>
  <pageMargins left="0.23622047244094491" right="0.23622047244094491" top="0.55118110236220474" bottom="0.35433070866141736" header="0.31496062992125984" footer="0.31496062992125984"/>
  <pageSetup paperSize="9" scale="44" fitToHeight="0" orientation="portrait" r:id="rId1"/>
  <headerFooter alignWithMargins="0">
    <oddHeader>&amp;A</oddHeader>
    <oddFooter>&amp;Z&amp;F</oddFooter>
  </headerFooter>
  <rowBreaks count="1" manualBreakCount="1">
    <brk id="58" min="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'School &amp; Nursery Setting Lookup'!$A:$A</xm:f>
          </x14:formula1>
          <xm:sqref>B5:D5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1"/>
  <sheetViews>
    <sheetView topLeftCell="A10" zoomScale="80" zoomScaleNormal="80" workbookViewId="0">
      <selection activeCell="A10" sqref="A1:XFD1048576"/>
    </sheetView>
  </sheetViews>
  <sheetFormatPr defaultRowHeight="12.75" x14ac:dyDescent="0.2"/>
  <cols>
    <col min="1" max="1" width="52.42578125" bestFit="1" customWidth="1"/>
    <col min="2" max="2" width="17.140625" bestFit="1" customWidth="1"/>
    <col min="3" max="3" width="11.85546875" style="45" customWidth="1"/>
    <col min="5" max="6" width="11.42578125" customWidth="1"/>
  </cols>
  <sheetData>
    <row r="1" spans="1:7" x14ac:dyDescent="0.2">
      <c r="A1" s="9" t="s">
        <v>137</v>
      </c>
      <c r="B1" s="10"/>
    </row>
    <row r="2" spans="1:7" x14ac:dyDescent="0.2">
      <c r="A2" s="9" t="s">
        <v>138</v>
      </c>
      <c r="B2" s="10"/>
      <c r="C2" s="236" t="s">
        <v>269</v>
      </c>
      <c r="D2" s="234"/>
    </row>
    <row r="3" spans="1:7" x14ac:dyDescent="0.2">
      <c r="A3" s="9" t="s">
        <v>139</v>
      </c>
      <c r="B3" s="10"/>
    </row>
    <row r="4" spans="1:7" x14ac:dyDescent="0.2">
      <c r="A4" s="9" t="s">
        <v>140</v>
      </c>
      <c r="B4" s="10"/>
    </row>
    <row r="5" spans="1:7" x14ac:dyDescent="0.2">
      <c r="A5" s="9" t="s">
        <v>141</v>
      </c>
      <c r="B5" s="10"/>
    </row>
    <row r="6" spans="1:7" x14ac:dyDescent="0.2">
      <c r="A6" s="25" t="s">
        <v>180</v>
      </c>
      <c r="B6" s="15" t="s">
        <v>142</v>
      </c>
      <c r="C6" s="45" t="s">
        <v>264</v>
      </c>
      <c r="E6" t="s">
        <v>262</v>
      </c>
      <c r="F6" t="s">
        <v>263</v>
      </c>
    </row>
    <row r="7" spans="1:7" x14ac:dyDescent="0.2">
      <c r="A7" s="25"/>
      <c r="B7" s="15"/>
    </row>
    <row r="8" spans="1:7" x14ac:dyDescent="0.2">
      <c r="A8" s="375" t="s">
        <v>36</v>
      </c>
      <c r="B8" s="332">
        <v>1014</v>
      </c>
      <c r="C8" s="45">
        <f t="shared" ref="C8:C15" si="0">E8+F8</f>
        <v>11139.395679999998</v>
      </c>
      <c r="E8" s="20">
        <v>9551.8799999999992</v>
      </c>
      <c r="F8" s="20">
        <v>1587.5156799999986</v>
      </c>
      <c r="G8" s="20"/>
    </row>
    <row r="9" spans="1:7" x14ac:dyDescent="0.2">
      <c r="A9" s="375" t="s">
        <v>37</v>
      </c>
      <c r="B9" s="332">
        <v>1017</v>
      </c>
      <c r="C9" s="45">
        <f t="shared" si="0"/>
        <v>11435.713739999999</v>
      </c>
      <c r="E9" s="20">
        <v>10409.1</v>
      </c>
      <c r="F9" s="20">
        <v>1026.6137399999998</v>
      </c>
      <c r="G9" s="20"/>
    </row>
    <row r="10" spans="1:7" x14ac:dyDescent="0.2">
      <c r="A10" s="375" t="s">
        <v>38</v>
      </c>
      <c r="B10" s="332">
        <v>1006</v>
      </c>
      <c r="C10" s="45">
        <f t="shared" si="0"/>
        <v>11908.364959999999</v>
      </c>
      <c r="E10" s="20">
        <v>11266.32</v>
      </c>
      <c r="F10" s="20">
        <v>642.04496000000017</v>
      </c>
      <c r="G10" s="20"/>
    </row>
    <row r="11" spans="1:7" x14ac:dyDescent="0.2">
      <c r="A11" s="375" t="s">
        <v>39</v>
      </c>
      <c r="B11" s="332">
        <v>1008</v>
      </c>
      <c r="C11" s="45">
        <f t="shared" si="0"/>
        <v>4895.6251199999988</v>
      </c>
      <c r="E11" s="20">
        <v>4653.4799999999996</v>
      </c>
      <c r="F11" s="20">
        <v>242.14511999999968</v>
      </c>
      <c r="G11" s="20"/>
    </row>
    <row r="12" spans="1:7" x14ac:dyDescent="0.2">
      <c r="A12" s="375" t="s">
        <v>40</v>
      </c>
      <c r="B12" s="332">
        <v>1005</v>
      </c>
      <c r="C12" s="45">
        <f t="shared" si="0"/>
        <v>16403.07876</v>
      </c>
      <c r="E12" s="20">
        <v>14450.28</v>
      </c>
      <c r="F12" s="20">
        <v>1952.7987599999997</v>
      </c>
      <c r="G12" s="20"/>
    </row>
    <row r="13" spans="1:7" x14ac:dyDescent="0.2">
      <c r="A13" s="375" t="s">
        <v>41</v>
      </c>
      <c r="B13" s="332">
        <v>1010</v>
      </c>
      <c r="C13" s="45">
        <f t="shared" si="0"/>
        <v>4655.3678400000008</v>
      </c>
      <c r="E13" s="20">
        <v>4408.5600000000004</v>
      </c>
      <c r="F13" s="20">
        <v>246.8078400000004</v>
      </c>
      <c r="G13" s="20"/>
    </row>
    <row r="14" spans="1:7" x14ac:dyDescent="0.2">
      <c r="A14" s="375" t="s">
        <v>42</v>
      </c>
      <c r="B14" s="332">
        <v>1009</v>
      </c>
      <c r="C14" s="45">
        <f t="shared" si="0"/>
        <v>8557.3444199999994</v>
      </c>
      <c r="E14" s="20">
        <v>8082.36</v>
      </c>
      <c r="F14" s="20">
        <v>474.98442000000023</v>
      </c>
      <c r="G14" s="20"/>
    </row>
    <row r="15" spans="1:7" x14ac:dyDescent="0.2">
      <c r="A15" s="375" t="s">
        <v>43</v>
      </c>
      <c r="B15" s="332">
        <v>1015</v>
      </c>
      <c r="C15" s="45">
        <f t="shared" si="0"/>
        <v>6185.4266200000002</v>
      </c>
      <c r="E15" s="20">
        <v>5878.08</v>
      </c>
      <c r="F15" s="20">
        <v>307.3466199999998</v>
      </c>
      <c r="G15" s="20"/>
    </row>
    <row r="16" spans="1:7" x14ac:dyDescent="0.2">
      <c r="A16" s="332"/>
      <c r="B16" s="332"/>
      <c r="E16" s="20"/>
      <c r="F16" s="20"/>
      <c r="G16" s="20"/>
    </row>
    <row r="17" spans="1:7" x14ac:dyDescent="0.2">
      <c r="A17" s="9" t="s">
        <v>1003</v>
      </c>
      <c r="B17" s="9" t="s">
        <v>1003</v>
      </c>
      <c r="C17" s="45">
        <f>SUM(C8:C16)</f>
        <v>75180.317139999999</v>
      </c>
      <c r="E17" s="45">
        <f>SUM(E8:E16)</f>
        <v>68700.06</v>
      </c>
      <c r="F17" s="45">
        <f>SUM(F8:F16)</f>
        <v>6480.2571399999979</v>
      </c>
      <c r="G17" s="20"/>
    </row>
    <row r="18" spans="1:7" x14ac:dyDescent="0.2">
      <c r="A18" s="25"/>
      <c r="B18" s="15"/>
    </row>
    <row r="19" spans="1:7" x14ac:dyDescent="0.2">
      <c r="A19" s="18" t="s">
        <v>44</v>
      </c>
      <c r="B19" s="19">
        <v>2400</v>
      </c>
      <c r="C19" s="45">
        <f>E19+F19</f>
        <v>28828.94</v>
      </c>
      <c r="E19">
        <v>29145.48</v>
      </c>
      <c r="F19">
        <v>-316.54000000000002</v>
      </c>
    </row>
    <row r="20" spans="1:7" x14ac:dyDescent="0.2">
      <c r="A20" s="18" t="s">
        <v>45</v>
      </c>
      <c r="B20" s="19">
        <v>2443</v>
      </c>
      <c r="C20" s="45">
        <f t="shared" ref="C20:C82" si="1">E20+F20</f>
        <v>14051.08</v>
      </c>
      <c r="E20">
        <v>14205.36</v>
      </c>
      <c r="F20">
        <v>-154.28</v>
      </c>
    </row>
    <row r="21" spans="1:7" x14ac:dyDescent="0.2">
      <c r="A21" s="18" t="s">
        <v>155</v>
      </c>
      <c r="B21" s="19">
        <v>2442</v>
      </c>
      <c r="C21" s="45">
        <f t="shared" si="1"/>
        <v>14051.08</v>
      </c>
      <c r="E21">
        <v>14205.36</v>
      </c>
      <c r="F21">
        <v>-154.28</v>
      </c>
    </row>
    <row r="22" spans="1:7" x14ac:dyDescent="0.2">
      <c r="A22" s="18" t="s">
        <v>47</v>
      </c>
      <c r="B22" s="19">
        <v>2629</v>
      </c>
      <c r="C22" s="45">
        <f t="shared" si="1"/>
        <v>51396.38</v>
      </c>
      <c r="E22">
        <v>39921.96</v>
      </c>
      <c r="F22">
        <v>11474.42</v>
      </c>
    </row>
    <row r="23" spans="1:7" x14ac:dyDescent="0.2">
      <c r="A23" s="18" t="s">
        <v>48</v>
      </c>
      <c r="B23" s="19">
        <v>2509</v>
      </c>
      <c r="C23" s="45">
        <f t="shared" si="1"/>
        <v>13203.17</v>
      </c>
      <c r="E23">
        <v>13348.14</v>
      </c>
      <c r="F23">
        <v>-144.97</v>
      </c>
    </row>
    <row r="24" spans="1:7" x14ac:dyDescent="0.2">
      <c r="A24" s="18" t="s">
        <v>49</v>
      </c>
      <c r="B24" s="19">
        <v>2005</v>
      </c>
      <c r="C24" s="45">
        <f t="shared" si="1"/>
        <v>15262.38</v>
      </c>
      <c r="E24">
        <v>15429.96</v>
      </c>
      <c r="F24">
        <v>-167.58</v>
      </c>
    </row>
    <row r="25" spans="1:7" x14ac:dyDescent="0.2">
      <c r="A25" s="18" t="s">
        <v>50</v>
      </c>
      <c r="B25" s="19">
        <v>2464</v>
      </c>
      <c r="C25" s="45">
        <f t="shared" si="1"/>
        <v>12839.78</v>
      </c>
      <c r="E25">
        <v>12980.76</v>
      </c>
      <c r="F25">
        <v>-140.97999999999999</v>
      </c>
    </row>
    <row r="26" spans="1:7" x14ac:dyDescent="0.2">
      <c r="A26" s="18" t="s">
        <v>51</v>
      </c>
      <c r="B26" s="19">
        <v>2004</v>
      </c>
      <c r="C26" s="45">
        <f t="shared" si="1"/>
        <v>15262.38</v>
      </c>
      <c r="E26">
        <v>15429.96</v>
      </c>
      <c r="F26">
        <v>-167.58</v>
      </c>
    </row>
    <row r="27" spans="1:7" x14ac:dyDescent="0.2">
      <c r="A27" s="18" t="s">
        <v>52</v>
      </c>
      <c r="B27" s="19">
        <v>2405</v>
      </c>
      <c r="C27" s="45">
        <f t="shared" si="1"/>
        <v>13324.300000000001</v>
      </c>
      <c r="E27">
        <v>13470.6</v>
      </c>
      <c r="F27">
        <v>-146.30000000000001</v>
      </c>
    </row>
    <row r="28" spans="1:7" x14ac:dyDescent="0.2">
      <c r="A28" s="18" t="s">
        <v>156</v>
      </c>
      <c r="B28" s="19">
        <v>3525</v>
      </c>
      <c r="C28" s="45">
        <f t="shared" si="1"/>
        <v>5457.4500000000007</v>
      </c>
      <c r="E28">
        <v>5290.27</v>
      </c>
      <c r="F28">
        <v>167.18</v>
      </c>
    </row>
    <row r="29" spans="1:7" x14ac:dyDescent="0.2">
      <c r="A29" s="18" t="s">
        <v>54</v>
      </c>
      <c r="B29" s="19">
        <v>5201</v>
      </c>
      <c r="C29" s="45">
        <f t="shared" si="1"/>
        <v>82481.600000000006</v>
      </c>
      <c r="E29">
        <v>20328.36</v>
      </c>
      <c r="F29">
        <v>62153.24</v>
      </c>
    </row>
    <row r="30" spans="1:7" x14ac:dyDescent="0.2">
      <c r="A30" s="18" t="s">
        <v>157</v>
      </c>
      <c r="B30" s="19">
        <v>2007</v>
      </c>
      <c r="C30" s="45">
        <f t="shared" si="1"/>
        <v>2851.55</v>
      </c>
      <c r="E30">
        <v>2963.53</v>
      </c>
      <c r="F30">
        <v>-111.98</v>
      </c>
    </row>
    <row r="31" spans="1:7" x14ac:dyDescent="0.2">
      <c r="A31" s="18" t="s">
        <v>56</v>
      </c>
      <c r="B31" s="19">
        <v>2433</v>
      </c>
      <c r="C31" s="45">
        <f t="shared" si="1"/>
        <v>8115.46</v>
      </c>
      <c r="E31">
        <v>8204.82</v>
      </c>
      <c r="F31">
        <v>-89.36</v>
      </c>
    </row>
    <row r="32" spans="1:7" x14ac:dyDescent="0.2">
      <c r="A32" s="18" t="s">
        <v>57</v>
      </c>
      <c r="B32" s="19">
        <v>2432</v>
      </c>
      <c r="C32" s="45">
        <f t="shared" si="1"/>
        <v>8116.46</v>
      </c>
      <c r="E32">
        <v>8204.82</v>
      </c>
      <c r="F32">
        <v>-88.36</v>
      </c>
    </row>
    <row r="33" spans="1:11" x14ac:dyDescent="0.2">
      <c r="A33" s="18" t="s">
        <v>461</v>
      </c>
      <c r="B33" s="19">
        <v>2447</v>
      </c>
      <c r="C33" s="45">
        <f t="shared" si="1"/>
        <v>17927.240000000002</v>
      </c>
      <c r="E33">
        <v>18124.080000000002</v>
      </c>
      <c r="F33">
        <v>-196.84</v>
      </c>
      <c r="H33" s="29"/>
      <c r="I33" s="29"/>
      <c r="J33" s="29"/>
      <c r="K33" s="29"/>
    </row>
    <row r="34" spans="1:11" x14ac:dyDescent="0.2">
      <c r="A34" s="18" t="s">
        <v>60</v>
      </c>
      <c r="B34" s="19">
        <v>2512</v>
      </c>
      <c r="C34" s="45">
        <f t="shared" si="1"/>
        <v>15262.38</v>
      </c>
      <c r="E34">
        <v>15429.96</v>
      </c>
      <c r="F34">
        <v>-167.58</v>
      </c>
    </row>
    <row r="35" spans="1:11" x14ac:dyDescent="0.2">
      <c r="A35" s="18" t="s">
        <v>61</v>
      </c>
      <c r="B35" s="19">
        <v>2456</v>
      </c>
      <c r="C35" s="45">
        <f t="shared" si="1"/>
        <v>9084.75</v>
      </c>
      <c r="E35">
        <v>9184.5</v>
      </c>
      <c r="F35">
        <v>-99.75</v>
      </c>
    </row>
    <row r="36" spans="1:11" x14ac:dyDescent="0.2">
      <c r="A36" s="18" t="s">
        <v>62</v>
      </c>
      <c r="B36" s="19">
        <v>2449</v>
      </c>
      <c r="C36" s="45">
        <f t="shared" si="1"/>
        <v>11749.61</v>
      </c>
      <c r="E36">
        <v>11878.62</v>
      </c>
      <c r="F36">
        <v>-129.01</v>
      </c>
    </row>
    <row r="37" spans="1:11" x14ac:dyDescent="0.2">
      <c r="A37" s="18" t="s">
        <v>63</v>
      </c>
      <c r="B37" s="19">
        <v>2448</v>
      </c>
      <c r="C37" s="45">
        <f t="shared" si="1"/>
        <v>17321.59</v>
      </c>
      <c r="E37">
        <v>17511.78</v>
      </c>
      <c r="F37">
        <v>-190.19</v>
      </c>
    </row>
    <row r="38" spans="1:11" x14ac:dyDescent="0.2">
      <c r="A38" s="18" t="s">
        <v>193</v>
      </c>
      <c r="B38" s="19">
        <v>2467</v>
      </c>
      <c r="C38" s="45">
        <f t="shared" si="1"/>
        <v>12960.91</v>
      </c>
      <c r="E38">
        <v>13103.22</v>
      </c>
      <c r="F38">
        <v>-142.31</v>
      </c>
    </row>
    <row r="39" spans="1:11" x14ac:dyDescent="0.2">
      <c r="A39" s="18" t="s">
        <v>65</v>
      </c>
      <c r="B39" s="19">
        <v>2455</v>
      </c>
      <c r="C39" s="45">
        <f t="shared" si="1"/>
        <v>25195.040000000001</v>
      </c>
      <c r="E39">
        <v>25471.68</v>
      </c>
      <c r="F39">
        <v>-276.64</v>
      </c>
    </row>
    <row r="40" spans="1:11" x14ac:dyDescent="0.2">
      <c r="A40" s="18" t="s">
        <v>66</v>
      </c>
      <c r="B40" s="19">
        <v>5203</v>
      </c>
      <c r="C40" s="45">
        <f t="shared" si="1"/>
        <v>4901.91</v>
      </c>
      <c r="E40">
        <v>4751.45</v>
      </c>
      <c r="F40">
        <v>150.46</v>
      </c>
    </row>
    <row r="41" spans="1:11" x14ac:dyDescent="0.2">
      <c r="A41" s="18" t="s">
        <v>67</v>
      </c>
      <c r="B41" s="19">
        <v>2451</v>
      </c>
      <c r="C41" s="45">
        <f t="shared" si="1"/>
        <v>23378.09</v>
      </c>
      <c r="E41">
        <v>23634.78</v>
      </c>
      <c r="F41">
        <v>-256.69</v>
      </c>
    </row>
    <row r="42" spans="1:11" x14ac:dyDescent="0.2">
      <c r="A42" s="18" t="s">
        <v>68</v>
      </c>
      <c r="B42" s="19">
        <v>2409</v>
      </c>
      <c r="C42" s="45">
        <f t="shared" si="1"/>
        <v>32220.58</v>
      </c>
      <c r="E42">
        <v>32574.36</v>
      </c>
      <c r="F42">
        <v>-353.78</v>
      </c>
    </row>
    <row r="43" spans="1:11" x14ac:dyDescent="0.2">
      <c r="A43" s="18" t="s">
        <v>159</v>
      </c>
      <c r="B43" s="19">
        <v>3158</v>
      </c>
      <c r="C43" s="45">
        <f t="shared" si="1"/>
        <v>1579.03</v>
      </c>
      <c r="E43">
        <v>1518.5</v>
      </c>
      <c r="F43">
        <v>60.53</v>
      </c>
    </row>
    <row r="44" spans="1:11" x14ac:dyDescent="0.2">
      <c r="A44" s="18" t="s">
        <v>69</v>
      </c>
      <c r="B44" s="19">
        <v>2619</v>
      </c>
      <c r="C44" s="45">
        <f t="shared" si="1"/>
        <v>27617.64</v>
      </c>
      <c r="E44">
        <v>27920.880000000001</v>
      </c>
      <c r="F44">
        <v>-303.24</v>
      </c>
    </row>
    <row r="45" spans="1:11" x14ac:dyDescent="0.2">
      <c r="A45" s="18" t="s">
        <v>70</v>
      </c>
      <c r="B45" s="19">
        <v>2518</v>
      </c>
      <c r="C45" s="45">
        <f t="shared" si="1"/>
        <v>9645.16</v>
      </c>
      <c r="E45">
        <v>10531.56</v>
      </c>
      <c r="F45">
        <v>-886.4</v>
      </c>
    </row>
    <row r="46" spans="1:11" x14ac:dyDescent="0.2">
      <c r="A46" s="18" t="s">
        <v>71</v>
      </c>
      <c r="B46" s="19">
        <v>2457</v>
      </c>
      <c r="C46" s="45">
        <f t="shared" si="1"/>
        <v>20107.079999999998</v>
      </c>
      <c r="E46">
        <v>20380.28</v>
      </c>
      <c r="F46">
        <v>-273.2</v>
      </c>
    </row>
    <row r="47" spans="1:11" x14ac:dyDescent="0.2">
      <c r="A47" s="18" t="s">
        <v>160</v>
      </c>
      <c r="B47" s="220">
        <v>2010</v>
      </c>
      <c r="C47" s="45">
        <f t="shared" si="1"/>
        <v>3488.35</v>
      </c>
      <c r="E47">
        <v>3526.85</v>
      </c>
      <c r="F47">
        <v>-38.5</v>
      </c>
    </row>
    <row r="48" spans="1:11" x14ac:dyDescent="0.2">
      <c r="A48" s="18" t="s">
        <v>73</v>
      </c>
      <c r="B48" s="19">
        <v>2002</v>
      </c>
      <c r="C48" s="45">
        <f t="shared" si="1"/>
        <v>44818.1</v>
      </c>
      <c r="E48">
        <v>45310.2</v>
      </c>
      <c r="F48">
        <v>-492.1</v>
      </c>
    </row>
    <row r="49" spans="1:7" x14ac:dyDescent="0.2">
      <c r="A49" s="18" t="s">
        <v>74</v>
      </c>
      <c r="B49" s="19">
        <v>3544</v>
      </c>
      <c r="C49" s="45">
        <f t="shared" si="1"/>
        <v>71708.960000000006</v>
      </c>
      <c r="E49">
        <v>72496.320000000007</v>
      </c>
      <c r="F49">
        <v>-787.36</v>
      </c>
    </row>
    <row r="50" spans="1:7" x14ac:dyDescent="0.2">
      <c r="A50" s="18" t="s">
        <v>161</v>
      </c>
      <c r="B50" s="19">
        <v>2006</v>
      </c>
      <c r="C50" s="45">
        <f t="shared" si="1"/>
        <v>28344.42</v>
      </c>
      <c r="E50">
        <v>28655.64</v>
      </c>
      <c r="F50">
        <v>-311.22000000000003</v>
      </c>
    </row>
    <row r="51" spans="1:7" x14ac:dyDescent="0.2">
      <c r="A51" s="18" t="s">
        <v>76</v>
      </c>
      <c r="B51" s="19">
        <v>2434</v>
      </c>
      <c r="C51" s="45">
        <f t="shared" si="1"/>
        <v>49448.24</v>
      </c>
      <c r="E51">
        <v>54372.24</v>
      </c>
      <c r="F51">
        <v>-4924</v>
      </c>
    </row>
    <row r="52" spans="1:7" x14ac:dyDescent="0.2">
      <c r="A52" s="18" t="s">
        <v>77</v>
      </c>
      <c r="B52" s="19">
        <v>2522</v>
      </c>
      <c r="C52" s="45">
        <f t="shared" si="1"/>
        <v>17442.72</v>
      </c>
      <c r="E52">
        <v>17634.240000000002</v>
      </c>
      <c r="F52">
        <v>-191.52</v>
      </c>
    </row>
    <row r="53" spans="1:7" x14ac:dyDescent="0.2">
      <c r="A53" s="18" t="s">
        <v>78</v>
      </c>
      <c r="B53" s="19">
        <v>2436</v>
      </c>
      <c r="C53" s="45">
        <f t="shared" si="1"/>
        <v>13808.82</v>
      </c>
      <c r="E53">
        <v>13960.44</v>
      </c>
      <c r="F53">
        <v>-151.62</v>
      </c>
    </row>
    <row r="54" spans="1:7" x14ac:dyDescent="0.2">
      <c r="A54" s="18" t="s">
        <v>79</v>
      </c>
      <c r="B54" s="19">
        <v>2452</v>
      </c>
      <c r="C54" s="45">
        <f t="shared" si="1"/>
        <v>15020.12</v>
      </c>
      <c r="E54">
        <v>15185.04</v>
      </c>
      <c r="F54">
        <v>-164.92</v>
      </c>
    </row>
    <row r="55" spans="1:7" x14ac:dyDescent="0.2">
      <c r="A55" s="18" t="s">
        <v>80</v>
      </c>
      <c r="B55" s="19">
        <v>2627</v>
      </c>
      <c r="C55" s="45">
        <f t="shared" si="1"/>
        <v>20349.84</v>
      </c>
      <c r="E55">
        <v>20573.28</v>
      </c>
      <c r="F55">
        <v>-223.44</v>
      </c>
    </row>
    <row r="56" spans="1:7" x14ac:dyDescent="0.2">
      <c r="A56" s="18" t="s">
        <v>81</v>
      </c>
      <c r="B56" s="19">
        <v>2009</v>
      </c>
      <c r="C56" s="45">
        <f t="shared" si="1"/>
        <v>2549.44</v>
      </c>
      <c r="E56">
        <v>2620.64</v>
      </c>
      <c r="F56">
        <v>-71.2</v>
      </c>
      <c r="G56" s="197" t="s">
        <v>276</v>
      </c>
    </row>
    <row r="57" spans="1:7" x14ac:dyDescent="0.2">
      <c r="A57" s="18" t="s">
        <v>162</v>
      </c>
      <c r="B57" s="19">
        <v>2473</v>
      </c>
      <c r="C57" s="45">
        <f t="shared" si="1"/>
        <v>15020.12</v>
      </c>
      <c r="E57">
        <v>15185.04</v>
      </c>
      <c r="F57">
        <v>-164.92</v>
      </c>
    </row>
    <row r="58" spans="1:7" x14ac:dyDescent="0.2">
      <c r="A58" s="18" t="s">
        <v>84</v>
      </c>
      <c r="B58" s="19">
        <v>2471</v>
      </c>
      <c r="C58" s="45">
        <f t="shared" si="1"/>
        <v>15020.12</v>
      </c>
      <c r="E58">
        <v>15185.04</v>
      </c>
      <c r="F58">
        <v>-164.92</v>
      </c>
    </row>
    <row r="59" spans="1:7" x14ac:dyDescent="0.2">
      <c r="A59" s="18" t="s">
        <v>82</v>
      </c>
      <c r="B59" s="19">
        <v>2420</v>
      </c>
      <c r="C59" s="45">
        <f t="shared" si="1"/>
        <v>22287.919999999998</v>
      </c>
      <c r="E59">
        <v>22532.639999999999</v>
      </c>
      <c r="F59">
        <v>-244.72</v>
      </c>
    </row>
    <row r="60" spans="1:7" x14ac:dyDescent="0.2">
      <c r="A60" s="18" t="s">
        <v>85</v>
      </c>
      <c r="B60" s="19">
        <v>2003</v>
      </c>
      <c r="C60" s="45">
        <f t="shared" si="1"/>
        <v>27859.899999999998</v>
      </c>
      <c r="E60">
        <v>28165.8</v>
      </c>
      <c r="F60">
        <v>-305.89999999999998</v>
      </c>
    </row>
    <row r="61" spans="1:7" x14ac:dyDescent="0.2">
      <c r="A61" s="18" t="s">
        <v>86</v>
      </c>
      <c r="B61" s="19">
        <v>2423</v>
      </c>
      <c r="C61" s="45">
        <f t="shared" si="1"/>
        <v>12234.38</v>
      </c>
      <c r="E61">
        <v>12368.46</v>
      </c>
      <c r="F61">
        <v>-134.08000000000001</v>
      </c>
    </row>
    <row r="62" spans="1:7" x14ac:dyDescent="0.2">
      <c r="A62" s="18" t="s">
        <v>87</v>
      </c>
      <c r="B62" s="19">
        <v>2424</v>
      </c>
      <c r="C62" s="45">
        <f t="shared" si="1"/>
        <v>12234.38</v>
      </c>
      <c r="E62">
        <v>12368.46</v>
      </c>
      <c r="F62">
        <v>-134.08000000000001</v>
      </c>
    </row>
    <row r="63" spans="1:7" x14ac:dyDescent="0.2">
      <c r="A63" s="18" t="s">
        <v>88</v>
      </c>
      <c r="B63" s="19">
        <v>2439</v>
      </c>
      <c r="C63" s="45">
        <f t="shared" si="1"/>
        <v>8346.24</v>
      </c>
      <c r="E63">
        <v>8449.74</v>
      </c>
      <c r="F63">
        <v>-103.5</v>
      </c>
    </row>
    <row r="64" spans="1:7" x14ac:dyDescent="0.2">
      <c r="A64" s="18" t="s">
        <v>89</v>
      </c>
      <c r="B64" s="19">
        <v>2440</v>
      </c>
      <c r="C64" s="45">
        <f t="shared" si="1"/>
        <v>33674.14</v>
      </c>
      <c r="E64">
        <v>34043.879999999997</v>
      </c>
      <c r="F64">
        <v>-369.74</v>
      </c>
    </row>
    <row r="65" spans="1:6" x14ac:dyDescent="0.2">
      <c r="A65" s="18" t="s">
        <v>163</v>
      </c>
      <c r="B65" s="19">
        <v>2462</v>
      </c>
      <c r="C65" s="45">
        <f t="shared" si="1"/>
        <v>13566.560000000001</v>
      </c>
      <c r="E65">
        <v>13715.52</v>
      </c>
      <c r="F65">
        <v>-148.96</v>
      </c>
    </row>
    <row r="66" spans="1:6" x14ac:dyDescent="0.2">
      <c r="A66" s="18" t="s">
        <v>91</v>
      </c>
      <c r="B66" s="19">
        <v>2463</v>
      </c>
      <c r="C66" s="45">
        <f t="shared" si="1"/>
        <v>13566.560000000001</v>
      </c>
      <c r="E66">
        <v>13715.52</v>
      </c>
      <c r="F66">
        <v>-148.96</v>
      </c>
    </row>
    <row r="67" spans="1:6" x14ac:dyDescent="0.2">
      <c r="A67" s="18" t="s">
        <v>92</v>
      </c>
      <c r="B67" s="19">
        <v>2505</v>
      </c>
      <c r="C67" s="45">
        <f t="shared" si="1"/>
        <v>28344.87</v>
      </c>
      <c r="E67">
        <v>28655.64</v>
      </c>
      <c r="F67">
        <v>-310.77</v>
      </c>
    </row>
    <row r="68" spans="1:6" x14ac:dyDescent="0.2">
      <c r="A68" s="18" t="s">
        <v>93</v>
      </c>
      <c r="B68" s="19">
        <v>2000</v>
      </c>
      <c r="C68" s="45">
        <f t="shared" si="1"/>
        <v>16110.29</v>
      </c>
      <c r="E68">
        <v>16287.18</v>
      </c>
      <c r="F68">
        <v>-176.89</v>
      </c>
    </row>
    <row r="69" spans="1:6" x14ac:dyDescent="0.2">
      <c r="A69" s="18" t="s">
        <v>94</v>
      </c>
      <c r="B69" s="19">
        <v>2458</v>
      </c>
      <c r="C69" s="45">
        <f t="shared" si="1"/>
        <v>3270.74</v>
      </c>
      <c r="E69">
        <v>3254.5</v>
      </c>
      <c r="F69">
        <v>16.239999999999998</v>
      </c>
    </row>
    <row r="70" spans="1:6" x14ac:dyDescent="0.2">
      <c r="A70" s="18" t="s">
        <v>95</v>
      </c>
      <c r="B70" s="19">
        <v>2001</v>
      </c>
      <c r="C70" s="45">
        <f t="shared" si="1"/>
        <v>18290.629999999997</v>
      </c>
      <c r="E70">
        <v>18491.46</v>
      </c>
      <c r="F70">
        <v>-200.83</v>
      </c>
    </row>
    <row r="71" spans="1:6" x14ac:dyDescent="0.2">
      <c r="A71" s="18" t="s">
        <v>96</v>
      </c>
      <c r="B71" s="19">
        <v>2429</v>
      </c>
      <c r="C71" s="45">
        <f t="shared" si="1"/>
        <v>8963.6200000000008</v>
      </c>
      <c r="E71">
        <v>9062.0400000000009</v>
      </c>
      <c r="F71">
        <v>-98.42</v>
      </c>
    </row>
    <row r="72" spans="1:6" x14ac:dyDescent="0.2">
      <c r="A72" s="18" t="s">
        <v>97</v>
      </c>
      <c r="B72" s="19">
        <v>2444</v>
      </c>
      <c r="C72" s="45">
        <f t="shared" si="1"/>
        <v>9327.01</v>
      </c>
      <c r="E72">
        <v>9429.42</v>
      </c>
      <c r="F72">
        <v>-102.41</v>
      </c>
    </row>
    <row r="73" spans="1:6" x14ac:dyDescent="0.2">
      <c r="A73" s="18" t="s">
        <v>98</v>
      </c>
      <c r="B73" s="19">
        <v>5209</v>
      </c>
      <c r="C73" s="45">
        <f t="shared" si="1"/>
        <v>2552.31</v>
      </c>
      <c r="E73">
        <v>2473.69</v>
      </c>
      <c r="F73">
        <v>78.62</v>
      </c>
    </row>
    <row r="74" spans="1:6" x14ac:dyDescent="0.2">
      <c r="A74" s="18" t="s">
        <v>99</v>
      </c>
      <c r="B74" s="19">
        <v>2469</v>
      </c>
      <c r="C74" s="45">
        <f t="shared" si="1"/>
        <v>14172.21</v>
      </c>
      <c r="E74">
        <v>14327.82</v>
      </c>
      <c r="F74">
        <v>-155.61000000000001</v>
      </c>
    </row>
    <row r="75" spans="1:6" x14ac:dyDescent="0.2">
      <c r="A75" s="18" t="s">
        <v>100</v>
      </c>
      <c r="B75" s="19">
        <v>2430</v>
      </c>
      <c r="C75" s="45">
        <f t="shared" si="1"/>
        <v>19501.93</v>
      </c>
      <c r="E75">
        <v>19716.060000000001</v>
      </c>
      <c r="F75">
        <v>-214.13</v>
      </c>
    </row>
    <row r="76" spans="1:6" x14ac:dyDescent="0.2">
      <c r="A76" s="18" t="s">
        <v>101</v>
      </c>
      <c r="B76" s="19">
        <v>2466</v>
      </c>
      <c r="C76" s="45">
        <f t="shared" si="1"/>
        <v>12113</v>
      </c>
      <c r="E76">
        <v>12246</v>
      </c>
      <c r="F76">
        <v>-133</v>
      </c>
    </row>
    <row r="77" spans="1:6" x14ac:dyDescent="0.2">
      <c r="A77" s="18" t="s">
        <v>102</v>
      </c>
      <c r="B77" s="19">
        <v>3543</v>
      </c>
      <c r="C77" s="45">
        <f t="shared" si="1"/>
        <v>3183.5099999999998</v>
      </c>
      <c r="E77">
        <v>3085.99</v>
      </c>
      <c r="F77">
        <v>97.52</v>
      </c>
    </row>
    <row r="78" spans="1:6" x14ac:dyDescent="0.2">
      <c r="A78" s="18" t="s">
        <v>104</v>
      </c>
      <c r="B78" s="19">
        <v>3531</v>
      </c>
      <c r="C78" s="45">
        <f t="shared" si="1"/>
        <v>3183.2099999999996</v>
      </c>
      <c r="E78">
        <v>3085.99</v>
      </c>
      <c r="F78">
        <v>97.22</v>
      </c>
    </row>
    <row r="79" spans="1:6" x14ac:dyDescent="0.2">
      <c r="A79" s="18" t="s">
        <v>164</v>
      </c>
      <c r="B79" s="19">
        <v>3526</v>
      </c>
      <c r="C79" s="45">
        <f t="shared" si="1"/>
        <v>1240.8799999999999</v>
      </c>
      <c r="E79">
        <v>1175.6199999999999</v>
      </c>
      <c r="F79">
        <v>65.260000000000005</v>
      </c>
    </row>
    <row r="80" spans="1:6" x14ac:dyDescent="0.2">
      <c r="A80" s="18" t="s">
        <v>165</v>
      </c>
      <c r="B80" s="19">
        <v>3535</v>
      </c>
      <c r="C80" s="45">
        <f t="shared" si="1"/>
        <v>2501.34</v>
      </c>
      <c r="E80">
        <v>2424.71</v>
      </c>
      <c r="F80">
        <v>76.63</v>
      </c>
    </row>
    <row r="81" spans="1:7" x14ac:dyDescent="0.2">
      <c r="A81" s="21" t="s">
        <v>107</v>
      </c>
      <c r="B81" s="19">
        <v>2008</v>
      </c>
      <c r="C81" s="45">
        <f t="shared" si="1"/>
        <v>2522.6799999999998</v>
      </c>
      <c r="E81">
        <v>2522.6799999999998</v>
      </c>
      <c r="F81">
        <v>0</v>
      </c>
      <c r="G81" t="s">
        <v>270</v>
      </c>
    </row>
    <row r="82" spans="1:7" x14ac:dyDescent="0.2">
      <c r="A82" s="18" t="s">
        <v>166</v>
      </c>
      <c r="B82" s="19">
        <v>3542</v>
      </c>
      <c r="C82" s="45">
        <f t="shared" si="1"/>
        <v>4648.95</v>
      </c>
      <c r="E82">
        <v>4506.53</v>
      </c>
      <c r="F82">
        <v>142.41999999999999</v>
      </c>
    </row>
    <row r="83" spans="1:7" x14ac:dyDescent="0.2">
      <c r="A83" s="18" t="s">
        <v>167</v>
      </c>
      <c r="B83" s="19">
        <v>3528</v>
      </c>
      <c r="C83" s="45">
        <f t="shared" ref="C83:C88" si="2">E83+F83</f>
        <v>8337.7799999999988</v>
      </c>
      <c r="E83">
        <v>8082.36</v>
      </c>
      <c r="F83">
        <v>255.42</v>
      </c>
    </row>
    <row r="84" spans="1:7" x14ac:dyDescent="0.2">
      <c r="A84" s="18" t="s">
        <v>168</v>
      </c>
      <c r="B84" s="19">
        <v>3534</v>
      </c>
      <c r="C84" s="45">
        <f t="shared" si="2"/>
        <v>2804.52</v>
      </c>
      <c r="E84">
        <v>2718.61</v>
      </c>
      <c r="F84">
        <v>85.91</v>
      </c>
    </row>
    <row r="85" spans="1:7" x14ac:dyDescent="0.2">
      <c r="A85" s="18" t="s">
        <v>169</v>
      </c>
      <c r="B85" s="19">
        <v>3532</v>
      </c>
      <c r="C85" s="45">
        <f t="shared" si="2"/>
        <v>4320.4800000000005</v>
      </c>
      <c r="E85">
        <v>4188.13</v>
      </c>
      <c r="F85">
        <v>132.35</v>
      </c>
    </row>
    <row r="86" spans="1:7" x14ac:dyDescent="0.2">
      <c r="A86" s="18" t="s">
        <v>112</v>
      </c>
      <c r="B86" s="19">
        <v>3546</v>
      </c>
      <c r="C86" s="45">
        <f t="shared" si="2"/>
        <v>143685.62</v>
      </c>
      <c r="E86">
        <v>81313.440000000002</v>
      </c>
      <c r="F86" s="241">
        <v>62372.18</v>
      </c>
    </row>
    <row r="87" spans="1:7" x14ac:dyDescent="0.2">
      <c r="A87" s="18" t="s">
        <v>170</v>
      </c>
      <c r="B87" s="19">
        <v>3530</v>
      </c>
      <c r="C87" s="45">
        <f t="shared" si="2"/>
        <v>2754</v>
      </c>
      <c r="E87">
        <v>2669.63</v>
      </c>
      <c r="F87">
        <v>84.37</v>
      </c>
    </row>
    <row r="88" spans="1:7" x14ac:dyDescent="0.2">
      <c r="A88" s="18" t="s">
        <v>114</v>
      </c>
      <c r="B88" s="19">
        <v>2459</v>
      </c>
      <c r="C88" s="45">
        <f t="shared" si="2"/>
        <v>15262.38</v>
      </c>
      <c r="E88">
        <v>15429.96</v>
      </c>
      <c r="F88">
        <v>-167.58</v>
      </c>
    </row>
    <row r="89" spans="1:7" x14ac:dyDescent="0.2">
      <c r="A89" s="18"/>
      <c r="B89" s="19"/>
    </row>
    <row r="90" spans="1:7" x14ac:dyDescent="0.2">
      <c r="A90" s="9" t="s">
        <v>171</v>
      </c>
      <c r="B90" s="9" t="s">
        <v>171</v>
      </c>
      <c r="C90" s="45">
        <f>SUM(C19:C89)</f>
        <v>1282074.31</v>
      </c>
      <c r="E90" s="45">
        <f>SUM(E19:E89)</f>
        <v>1160357.48</v>
      </c>
      <c r="F90" s="45">
        <f>SUM(F19:F89)</f>
        <v>121716.83</v>
      </c>
    </row>
    <row r="91" spans="1:7" x14ac:dyDescent="0.2">
      <c r="A91" s="18"/>
      <c r="B91" s="19"/>
    </row>
    <row r="92" spans="1:7" x14ac:dyDescent="0.2">
      <c r="A92" s="18" t="s">
        <v>127</v>
      </c>
      <c r="B92" s="19">
        <v>5402</v>
      </c>
      <c r="C92" s="45">
        <f t="shared" ref="C92:C104" si="3">E92+F92</f>
        <v>38963.479999999996</v>
      </c>
      <c r="E92">
        <v>39187.199999999997</v>
      </c>
      <c r="F92">
        <v>-223.72</v>
      </c>
      <c r="G92" s="197" t="s">
        <v>277</v>
      </c>
    </row>
    <row r="93" spans="1:7" x14ac:dyDescent="0.2">
      <c r="A93" s="18" t="s">
        <v>116</v>
      </c>
      <c r="B93" s="19">
        <v>4608</v>
      </c>
      <c r="C93" s="45">
        <f t="shared" si="3"/>
        <v>27539.94</v>
      </c>
      <c r="E93">
        <v>26696.28</v>
      </c>
      <c r="F93">
        <v>843.66</v>
      </c>
    </row>
    <row r="94" spans="1:7" x14ac:dyDescent="0.2">
      <c r="A94" s="18" t="s">
        <v>172</v>
      </c>
      <c r="B94" s="19">
        <v>4178</v>
      </c>
      <c r="C94" s="45">
        <f t="shared" si="3"/>
        <v>26024.48</v>
      </c>
      <c r="E94">
        <v>25226.76</v>
      </c>
      <c r="F94">
        <v>797.72</v>
      </c>
    </row>
    <row r="95" spans="1:7" x14ac:dyDescent="0.2">
      <c r="A95" s="18" t="s">
        <v>118</v>
      </c>
      <c r="B95" s="19">
        <v>4181</v>
      </c>
      <c r="C95" s="45">
        <f t="shared" si="3"/>
        <v>19789.54</v>
      </c>
      <c r="E95">
        <v>19789.54</v>
      </c>
      <c r="F95">
        <v>0</v>
      </c>
      <c r="G95" t="s">
        <v>270</v>
      </c>
    </row>
    <row r="96" spans="1:7" x14ac:dyDescent="0.2">
      <c r="A96" s="18" t="s">
        <v>119</v>
      </c>
      <c r="B96" s="19">
        <v>4182</v>
      </c>
      <c r="C96" s="45">
        <f t="shared" si="3"/>
        <v>97873.04</v>
      </c>
      <c r="E96">
        <v>98947.68</v>
      </c>
      <c r="F96">
        <v>-1074.6400000000001</v>
      </c>
    </row>
    <row r="97" spans="1:7" x14ac:dyDescent="0.2">
      <c r="A97" s="18" t="s">
        <v>120</v>
      </c>
      <c r="B97" s="221">
        <v>4001</v>
      </c>
      <c r="C97" s="45">
        <f t="shared" si="3"/>
        <v>100530.24000000001</v>
      </c>
      <c r="E97">
        <v>56821.440000000002</v>
      </c>
      <c r="F97">
        <v>43708.800000000003</v>
      </c>
      <c r="G97" t="s">
        <v>273</v>
      </c>
    </row>
    <row r="98" spans="1:7" x14ac:dyDescent="0.2">
      <c r="A98" s="18" t="s">
        <v>173</v>
      </c>
      <c r="B98" s="19">
        <v>5406</v>
      </c>
      <c r="C98" s="45">
        <f t="shared" si="3"/>
        <v>25771.32</v>
      </c>
      <c r="E98">
        <v>24981.84</v>
      </c>
      <c r="F98">
        <v>789.48</v>
      </c>
    </row>
    <row r="99" spans="1:7" x14ac:dyDescent="0.2">
      <c r="A99" s="18" t="s">
        <v>174</v>
      </c>
      <c r="B99" s="19">
        <v>5407</v>
      </c>
      <c r="C99" s="45">
        <f t="shared" si="3"/>
        <v>28045.759999999998</v>
      </c>
      <c r="E99">
        <v>27186.12</v>
      </c>
      <c r="F99">
        <v>859.64</v>
      </c>
    </row>
    <row r="100" spans="1:7" x14ac:dyDescent="0.2">
      <c r="A100" s="18" t="s">
        <v>123</v>
      </c>
      <c r="B100" s="19">
        <v>4607</v>
      </c>
      <c r="C100" s="45">
        <f t="shared" si="3"/>
        <v>28900.560000000001</v>
      </c>
      <c r="E100">
        <v>28900.560000000001</v>
      </c>
      <c r="F100">
        <v>0</v>
      </c>
      <c r="G100" t="s">
        <v>270</v>
      </c>
    </row>
    <row r="101" spans="1:7" x14ac:dyDescent="0.2">
      <c r="A101" s="18" t="s">
        <v>265</v>
      </c>
      <c r="B101" s="221">
        <v>4002</v>
      </c>
      <c r="C101" s="45">
        <f t="shared" si="3"/>
        <v>19095.75</v>
      </c>
      <c r="E101">
        <v>18613.919999999998</v>
      </c>
      <c r="F101">
        <v>481.83</v>
      </c>
      <c r="G101" t="s">
        <v>278</v>
      </c>
    </row>
    <row r="102" spans="1:7" x14ac:dyDescent="0.2">
      <c r="A102" s="18" t="s">
        <v>175</v>
      </c>
      <c r="B102" s="19">
        <v>4177</v>
      </c>
      <c r="C102" s="45">
        <f t="shared" si="3"/>
        <v>20212.8</v>
      </c>
      <c r="E102">
        <v>19593.599999999999</v>
      </c>
      <c r="F102">
        <v>619.20000000000005</v>
      </c>
    </row>
    <row r="103" spans="1:7" x14ac:dyDescent="0.2">
      <c r="A103" s="18" t="s">
        <v>126</v>
      </c>
      <c r="B103" s="19">
        <v>5412</v>
      </c>
      <c r="C103" s="45">
        <f t="shared" si="3"/>
        <v>20867.18</v>
      </c>
      <c r="E103">
        <v>20867.18</v>
      </c>
      <c r="F103">
        <v>0</v>
      </c>
      <c r="G103" t="s">
        <v>270</v>
      </c>
    </row>
    <row r="104" spans="1:7" x14ac:dyDescent="0.2">
      <c r="A104" s="18" t="s">
        <v>125</v>
      </c>
      <c r="B104" s="19">
        <v>5414</v>
      </c>
      <c r="C104" s="45">
        <f t="shared" si="3"/>
        <v>24198.1</v>
      </c>
      <c r="E104">
        <v>24198.1</v>
      </c>
      <c r="F104">
        <v>0</v>
      </c>
      <c r="G104" t="s">
        <v>270</v>
      </c>
    </row>
    <row r="105" spans="1:7" x14ac:dyDescent="0.2">
      <c r="A105" s="18"/>
      <c r="B105" s="19"/>
    </row>
    <row r="106" spans="1:7" x14ac:dyDescent="0.2">
      <c r="A106" s="9" t="s">
        <v>176</v>
      </c>
      <c r="B106" s="9" t="s">
        <v>176</v>
      </c>
      <c r="C106" s="45">
        <f>SUM(C92:C105)</f>
        <v>477812.18999999994</v>
      </c>
      <c r="E106" s="45">
        <f>SUM(E92:E105)</f>
        <v>431010.22</v>
      </c>
      <c r="F106" s="45">
        <f>SUM(F92:F105)</f>
        <v>46801.97</v>
      </c>
    </row>
    <row r="107" spans="1:7" x14ac:dyDescent="0.2">
      <c r="A107" s="18"/>
      <c r="B107" s="19"/>
      <c r="E107" s="45"/>
      <c r="F107" s="45"/>
    </row>
    <row r="108" spans="1:7" x14ac:dyDescent="0.2">
      <c r="A108" s="9" t="s">
        <v>177</v>
      </c>
      <c r="B108" s="9" t="s">
        <v>178</v>
      </c>
      <c r="C108" s="45">
        <f>C106+C90+C17</f>
        <v>1835066.8171399999</v>
      </c>
      <c r="E108" s="45">
        <f>E106+E90+E17</f>
        <v>1660067.76</v>
      </c>
      <c r="F108" s="45">
        <f>F106+F90+F17</f>
        <v>174999.05713999999</v>
      </c>
    </row>
    <row r="109" spans="1:7" x14ac:dyDescent="0.2">
      <c r="A109" s="586" t="s">
        <v>867</v>
      </c>
      <c r="B109" s="646">
        <v>12345</v>
      </c>
    </row>
    <row r="115" spans="1:5" x14ac:dyDescent="0.2">
      <c r="B115" t="s">
        <v>271</v>
      </c>
    </row>
    <row r="116" spans="1:5" x14ac:dyDescent="0.2">
      <c r="B116" s="37">
        <v>1450572.771885714</v>
      </c>
    </row>
    <row r="117" spans="1:5" x14ac:dyDescent="0.2">
      <c r="B117" s="37"/>
    </row>
    <row r="121" spans="1:5" x14ac:dyDescent="0.2">
      <c r="A121" s="20" t="s">
        <v>561</v>
      </c>
      <c r="B121" s="10">
        <v>206189</v>
      </c>
      <c r="C121" s="20"/>
      <c r="D121" s="20"/>
      <c r="E121" s="20"/>
    </row>
    <row r="122" spans="1:5" x14ac:dyDescent="0.2">
      <c r="A122" s="20" t="s">
        <v>564</v>
      </c>
      <c r="B122" s="10" t="s">
        <v>565</v>
      </c>
      <c r="C122" s="20"/>
      <c r="D122" s="20"/>
      <c r="E122" s="20"/>
    </row>
    <row r="123" spans="1:5" x14ac:dyDescent="0.2">
      <c r="A123" s="20" t="s">
        <v>36</v>
      </c>
      <c r="B123" s="10">
        <v>1014</v>
      </c>
      <c r="C123" s="20"/>
      <c r="D123" s="20"/>
      <c r="E123" s="20"/>
    </row>
    <row r="124" spans="1:5" x14ac:dyDescent="0.2">
      <c r="A124" s="20" t="s">
        <v>566</v>
      </c>
      <c r="B124" s="10" t="s">
        <v>568</v>
      </c>
      <c r="C124" s="20"/>
      <c r="D124" s="20"/>
      <c r="E124" s="20"/>
    </row>
    <row r="125" spans="1:5" x14ac:dyDescent="0.2">
      <c r="A125" s="20" t="s">
        <v>575</v>
      </c>
      <c r="B125" s="10" t="s">
        <v>576</v>
      </c>
      <c r="C125" s="20"/>
      <c r="D125" s="20"/>
      <c r="E125" s="20"/>
    </row>
    <row r="126" spans="1:5" x14ac:dyDescent="0.2">
      <c r="A126" s="20" t="s">
        <v>577</v>
      </c>
      <c r="B126" s="10">
        <v>206124</v>
      </c>
      <c r="C126" s="20"/>
      <c r="D126" s="20"/>
      <c r="E126" s="20"/>
    </row>
    <row r="127" spans="1:5" x14ac:dyDescent="0.2">
      <c r="A127" s="20" t="s">
        <v>580</v>
      </c>
      <c r="B127" s="10" t="s">
        <v>582</v>
      </c>
      <c r="C127" s="20"/>
      <c r="D127" s="20"/>
      <c r="E127" s="20"/>
    </row>
    <row r="128" spans="1:5" x14ac:dyDescent="0.2">
      <c r="A128" s="20" t="s">
        <v>583</v>
      </c>
      <c r="B128" s="10">
        <v>206126</v>
      </c>
      <c r="C128" s="20"/>
      <c r="D128" s="20"/>
      <c r="E128" s="20"/>
    </row>
    <row r="129" spans="1:5" x14ac:dyDescent="0.2">
      <c r="A129" s="20" t="s">
        <v>585</v>
      </c>
      <c r="B129" s="10">
        <v>206111</v>
      </c>
      <c r="C129" s="20"/>
      <c r="D129" s="20"/>
      <c r="E129" s="20"/>
    </row>
    <row r="130" spans="1:5" x14ac:dyDescent="0.2">
      <c r="A130" s="20" t="s">
        <v>587</v>
      </c>
      <c r="B130" s="10">
        <v>206091</v>
      </c>
      <c r="C130" s="20"/>
      <c r="D130" s="20"/>
      <c r="E130" s="20"/>
    </row>
    <row r="131" spans="1:5" x14ac:dyDescent="0.2">
      <c r="A131" s="20" t="s">
        <v>37</v>
      </c>
      <c r="B131" s="10">
        <v>1017</v>
      </c>
      <c r="C131" s="20"/>
      <c r="D131" s="20"/>
      <c r="E131" s="20"/>
    </row>
    <row r="132" spans="1:5" x14ac:dyDescent="0.2">
      <c r="A132" s="20" t="s">
        <v>38</v>
      </c>
      <c r="B132" s="10">
        <v>1006</v>
      </c>
      <c r="C132" s="20"/>
      <c r="D132" s="20"/>
      <c r="E132" s="20"/>
    </row>
    <row r="133" spans="1:5" x14ac:dyDescent="0.2">
      <c r="A133" s="20" t="s">
        <v>589</v>
      </c>
      <c r="B133" s="10" t="s">
        <v>590</v>
      </c>
      <c r="C133" s="20"/>
      <c r="D133" s="20"/>
      <c r="E133" s="20"/>
    </row>
    <row r="134" spans="1:5" x14ac:dyDescent="0.2">
      <c r="A134" s="20" t="s">
        <v>591</v>
      </c>
      <c r="B134" s="10">
        <v>206128</v>
      </c>
      <c r="C134" s="20"/>
      <c r="D134" s="20"/>
      <c r="E134" s="20"/>
    </row>
    <row r="135" spans="1:5" x14ac:dyDescent="0.2">
      <c r="A135" s="20" t="s">
        <v>908</v>
      </c>
      <c r="B135" s="10" t="s">
        <v>617</v>
      </c>
      <c r="C135" s="20"/>
      <c r="D135" s="20"/>
      <c r="E135" s="20"/>
    </row>
    <row r="136" spans="1:5" x14ac:dyDescent="0.2">
      <c r="A136" s="20" t="s">
        <v>898</v>
      </c>
      <c r="B136" s="10">
        <v>205921</v>
      </c>
      <c r="C136" s="20"/>
      <c r="D136" s="20"/>
      <c r="E136" s="20"/>
    </row>
    <row r="137" spans="1:5" x14ac:dyDescent="0.2">
      <c r="A137" s="20" t="s">
        <v>897</v>
      </c>
      <c r="B137" s="10">
        <v>205999</v>
      </c>
      <c r="C137" s="20"/>
      <c r="D137" s="20"/>
      <c r="E137" s="20"/>
    </row>
    <row r="138" spans="1:5" x14ac:dyDescent="0.2">
      <c r="A138" s="20" t="s">
        <v>896</v>
      </c>
      <c r="B138" s="10" t="s">
        <v>598</v>
      </c>
      <c r="C138" s="20"/>
      <c r="D138" s="20"/>
      <c r="E138" s="20"/>
    </row>
    <row r="139" spans="1:5" x14ac:dyDescent="0.2">
      <c r="A139" s="20" t="s">
        <v>899</v>
      </c>
      <c r="B139" s="10">
        <v>205922</v>
      </c>
      <c r="C139" s="20"/>
      <c r="D139" s="20"/>
      <c r="E139" s="20"/>
    </row>
    <row r="140" spans="1:5" x14ac:dyDescent="0.2">
      <c r="A140" s="20" t="s">
        <v>900</v>
      </c>
      <c r="B140" s="10" t="s">
        <v>603</v>
      </c>
      <c r="C140" s="20"/>
      <c r="D140" s="20"/>
      <c r="E140" s="20"/>
    </row>
    <row r="141" spans="1:5" x14ac:dyDescent="0.2">
      <c r="A141" s="20" t="s">
        <v>901</v>
      </c>
      <c r="B141" s="10">
        <v>205849</v>
      </c>
      <c r="C141" s="20"/>
      <c r="D141" s="20"/>
      <c r="E141" s="20"/>
    </row>
    <row r="142" spans="1:5" x14ac:dyDescent="0.2">
      <c r="A142" s="20" t="s">
        <v>902</v>
      </c>
      <c r="B142" s="10" t="s">
        <v>606</v>
      </c>
      <c r="C142" s="20"/>
      <c r="D142" s="20"/>
      <c r="E142" s="20"/>
    </row>
    <row r="143" spans="1:5" x14ac:dyDescent="0.2">
      <c r="A143" s="20" t="s">
        <v>903</v>
      </c>
      <c r="B143" s="10">
        <v>2</v>
      </c>
      <c r="C143" s="20"/>
      <c r="D143" s="20"/>
      <c r="E143" s="20"/>
    </row>
    <row r="144" spans="1:5" x14ac:dyDescent="0.2">
      <c r="A144" s="20" t="s">
        <v>904</v>
      </c>
      <c r="B144" s="10">
        <v>205956</v>
      </c>
      <c r="C144" s="20"/>
      <c r="D144" s="20"/>
      <c r="E144" s="20"/>
    </row>
    <row r="145" spans="1:5" x14ac:dyDescent="0.2">
      <c r="A145" s="20" t="s">
        <v>907</v>
      </c>
      <c r="B145" s="10" t="s">
        <v>613</v>
      </c>
      <c r="C145" s="20"/>
      <c r="D145" s="20"/>
      <c r="E145" s="20"/>
    </row>
    <row r="146" spans="1:5" x14ac:dyDescent="0.2">
      <c r="A146" s="20" t="s">
        <v>906</v>
      </c>
      <c r="B146" s="10" t="s">
        <v>615</v>
      </c>
      <c r="C146" s="20"/>
      <c r="D146" s="20"/>
      <c r="E146" s="20"/>
    </row>
    <row r="147" spans="1:5" x14ac:dyDescent="0.2">
      <c r="A147" s="20" t="s">
        <v>905</v>
      </c>
      <c r="B147" s="10" t="s">
        <v>612</v>
      </c>
      <c r="C147" s="20"/>
      <c r="D147" s="20"/>
      <c r="E147" s="20"/>
    </row>
    <row r="148" spans="1:5" x14ac:dyDescent="0.2">
      <c r="A148" s="20" t="s">
        <v>909</v>
      </c>
      <c r="B148" s="10" t="s">
        <v>618</v>
      </c>
      <c r="C148" s="20"/>
      <c r="D148" s="20"/>
      <c r="E148" s="20"/>
    </row>
    <row r="149" spans="1:5" x14ac:dyDescent="0.2">
      <c r="A149" s="20" t="s">
        <v>910</v>
      </c>
      <c r="B149" s="10" t="s">
        <v>619</v>
      </c>
      <c r="C149" s="20"/>
      <c r="D149" s="20"/>
      <c r="E149" s="20"/>
    </row>
    <row r="150" spans="1:5" x14ac:dyDescent="0.2">
      <c r="A150" s="20" t="s">
        <v>911</v>
      </c>
      <c r="B150" s="10" t="s">
        <v>620</v>
      </c>
      <c r="C150" s="20"/>
      <c r="D150" s="20"/>
      <c r="E150" s="20"/>
    </row>
    <row r="151" spans="1:5" x14ac:dyDescent="0.2">
      <c r="A151" s="20" t="s">
        <v>621</v>
      </c>
      <c r="B151" s="10" t="s">
        <v>622</v>
      </c>
      <c r="C151" s="20"/>
      <c r="D151" s="20"/>
      <c r="E151" s="20"/>
    </row>
    <row r="152" spans="1:5" x14ac:dyDescent="0.2">
      <c r="A152" s="20" t="s">
        <v>623</v>
      </c>
      <c r="B152" s="10" t="s">
        <v>625</v>
      </c>
      <c r="C152" s="20"/>
      <c r="D152" s="20"/>
      <c r="E152" s="20"/>
    </row>
    <row r="153" spans="1:5" x14ac:dyDescent="0.2">
      <c r="A153" s="20" t="s">
        <v>628</v>
      </c>
      <c r="B153" s="10" t="s">
        <v>629</v>
      </c>
      <c r="C153" s="20"/>
      <c r="D153" s="20"/>
      <c r="E153" s="20"/>
    </row>
    <row r="154" spans="1:5" x14ac:dyDescent="0.2">
      <c r="A154" s="20" t="s">
        <v>630</v>
      </c>
      <c r="B154" s="10">
        <v>258417</v>
      </c>
      <c r="C154" s="20"/>
      <c r="D154" s="20"/>
      <c r="E154" s="20"/>
    </row>
    <row r="155" spans="1:5" x14ac:dyDescent="0.2">
      <c r="A155" s="20" t="s">
        <v>632</v>
      </c>
      <c r="B155" s="10" t="s">
        <v>634</v>
      </c>
      <c r="C155" s="20"/>
      <c r="D155" s="20"/>
      <c r="E155" s="20"/>
    </row>
    <row r="156" spans="1:5" x14ac:dyDescent="0.2">
      <c r="A156" s="20" t="s">
        <v>635</v>
      </c>
      <c r="B156" s="10" t="s">
        <v>637</v>
      </c>
      <c r="C156" s="20"/>
      <c r="D156" s="20"/>
      <c r="E156" s="20"/>
    </row>
    <row r="157" spans="1:5" x14ac:dyDescent="0.2">
      <c r="A157" s="20" t="s">
        <v>638</v>
      </c>
      <c r="B157" s="10">
        <v>206106</v>
      </c>
      <c r="C157" s="20"/>
      <c r="D157" s="20"/>
      <c r="E157" s="20"/>
    </row>
    <row r="158" spans="1:5" x14ac:dyDescent="0.2">
      <c r="A158" s="20" t="s">
        <v>640</v>
      </c>
      <c r="B158" s="10" t="s">
        <v>641</v>
      </c>
      <c r="C158" s="20"/>
      <c r="D158" s="20"/>
      <c r="E158" s="20"/>
    </row>
    <row r="159" spans="1:5" x14ac:dyDescent="0.2">
      <c r="A159" s="20" t="s">
        <v>39</v>
      </c>
      <c r="B159" s="10">
        <v>1008</v>
      </c>
      <c r="C159" s="20"/>
      <c r="D159" s="20"/>
      <c r="E159" s="20"/>
    </row>
    <row r="160" spans="1:5" x14ac:dyDescent="0.2">
      <c r="A160" s="20" t="s">
        <v>642</v>
      </c>
      <c r="B160" s="10" t="s">
        <v>643</v>
      </c>
      <c r="C160" s="20"/>
      <c r="D160" s="20"/>
      <c r="E160" s="20"/>
    </row>
    <row r="161" spans="1:5" x14ac:dyDescent="0.2">
      <c r="A161" s="20" t="s">
        <v>644</v>
      </c>
      <c r="B161" s="10" t="s">
        <v>645</v>
      </c>
      <c r="C161" s="20"/>
      <c r="D161" s="20"/>
      <c r="E161" s="20"/>
    </row>
    <row r="162" spans="1:5" x14ac:dyDescent="0.2">
      <c r="A162" s="20" t="s">
        <v>646</v>
      </c>
      <c r="B162" s="10">
        <v>206133</v>
      </c>
      <c r="C162" s="20"/>
      <c r="D162" s="20"/>
      <c r="E162" s="20"/>
    </row>
    <row r="163" spans="1:5" x14ac:dyDescent="0.2">
      <c r="A163" s="20" t="s">
        <v>648</v>
      </c>
      <c r="B163" s="10" t="s">
        <v>650</v>
      </c>
      <c r="C163" s="20"/>
      <c r="D163" s="20"/>
      <c r="E163" s="20"/>
    </row>
    <row r="164" spans="1:5" x14ac:dyDescent="0.2">
      <c r="A164" s="20" t="s">
        <v>651</v>
      </c>
      <c r="B164" s="10">
        <v>206134</v>
      </c>
      <c r="C164" s="20"/>
      <c r="D164" s="20"/>
      <c r="E164" s="20"/>
    </row>
    <row r="165" spans="1:5" x14ac:dyDescent="0.2">
      <c r="A165" s="20" t="s">
        <v>655</v>
      </c>
      <c r="B165" s="10" t="s">
        <v>656</v>
      </c>
      <c r="C165" s="20"/>
      <c r="D165" s="20"/>
      <c r="E165" s="20"/>
    </row>
    <row r="166" spans="1:5" x14ac:dyDescent="0.2">
      <c r="A166" s="20" t="s">
        <v>657</v>
      </c>
      <c r="B166" s="10" t="s">
        <v>658</v>
      </c>
      <c r="C166" s="20"/>
      <c r="D166" s="20"/>
      <c r="E166" s="20"/>
    </row>
    <row r="167" spans="1:5" x14ac:dyDescent="0.2">
      <c r="A167" s="20" t="s">
        <v>659</v>
      </c>
      <c r="B167" s="10">
        <v>206109</v>
      </c>
      <c r="C167" s="20"/>
      <c r="D167" s="20"/>
      <c r="E167" s="20"/>
    </row>
    <row r="168" spans="1:5" x14ac:dyDescent="0.2">
      <c r="A168" s="20" t="s">
        <v>661</v>
      </c>
      <c r="B168" s="10">
        <v>206110</v>
      </c>
      <c r="C168" s="20"/>
      <c r="D168" s="20"/>
      <c r="E168" s="20"/>
    </row>
    <row r="169" spans="1:5" x14ac:dyDescent="0.2">
      <c r="A169" s="20" t="s">
        <v>663</v>
      </c>
      <c r="B169" s="10">
        <v>206135</v>
      </c>
      <c r="C169" s="20"/>
      <c r="D169" s="20"/>
      <c r="E169" s="20"/>
    </row>
    <row r="170" spans="1:5" x14ac:dyDescent="0.2">
      <c r="A170" s="20" t="s">
        <v>665</v>
      </c>
      <c r="B170" s="10">
        <v>509195</v>
      </c>
      <c r="C170" s="20"/>
      <c r="D170" s="20"/>
      <c r="E170" s="20"/>
    </row>
    <row r="171" spans="1:5" x14ac:dyDescent="0.2">
      <c r="A171" s="20" t="s">
        <v>667</v>
      </c>
      <c r="B171" s="10" t="s">
        <v>668</v>
      </c>
      <c r="C171" s="20"/>
      <c r="D171" s="20"/>
      <c r="E171" s="20"/>
    </row>
    <row r="172" spans="1:5" x14ac:dyDescent="0.2">
      <c r="A172" s="20" t="s">
        <v>671</v>
      </c>
      <c r="B172" s="10" t="s">
        <v>673</v>
      </c>
      <c r="C172" s="20"/>
      <c r="D172" s="20"/>
      <c r="E172" s="20"/>
    </row>
    <row r="173" spans="1:5" x14ac:dyDescent="0.2">
      <c r="A173" s="20" t="s">
        <v>674</v>
      </c>
      <c r="B173" s="10">
        <v>509199</v>
      </c>
      <c r="C173" s="20"/>
      <c r="D173" s="20"/>
      <c r="E173" s="20"/>
    </row>
    <row r="174" spans="1:5" x14ac:dyDescent="0.2">
      <c r="A174" s="20" t="s">
        <v>676</v>
      </c>
      <c r="B174" s="10">
        <v>509197</v>
      </c>
      <c r="C174" s="20"/>
      <c r="D174" s="20"/>
      <c r="E174" s="20"/>
    </row>
    <row r="175" spans="1:5" x14ac:dyDescent="0.2">
      <c r="A175" s="20" t="s">
        <v>678</v>
      </c>
      <c r="B175" s="10" t="s">
        <v>680</v>
      </c>
      <c r="C175" s="20"/>
      <c r="D175" s="20"/>
      <c r="E175" s="20"/>
    </row>
    <row r="176" spans="1:5" x14ac:dyDescent="0.2">
      <c r="A176" s="20" t="s">
        <v>40</v>
      </c>
      <c r="B176" s="10">
        <v>1005</v>
      </c>
      <c r="C176" s="20"/>
      <c r="D176" s="20"/>
      <c r="E176" s="20"/>
    </row>
    <row r="177" spans="1:5" x14ac:dyDescent="0.2">
      <c r="A177" s="20" t="s">
        <v>683</v>
      </c>
      <c r="B177" s="10">
        <v>206117</v>
      </c>
      <c r="C177" s="20"/>
      <c r="D177" s="20"/>
      <c r="E177" s="20"/>
    </row>
    <row r="178" spans="1:5" x14ac:dyDescent="0.2">
      <c r="A178" s="20" t="s">
        <v>685</v>
      </c>
      <c r="B178" s="10">
        <v>206141</v>
      </c>
      <c r="C178" s="20"/>
      <c r="D178" s="20"/>
      <c r="E178" s="20"/>
    </row>
    <row r="179" spans="1:5" x14ac:dyDescent="0.2">
      <c r="A179" s="20" t="s">
        <v>687</v>
      </c>
      <c r="B179" s="10" t="s">
        <v>689</v>
      </c>
      <c r="C179" s="20"/>
      <c r="D179" s="20"/>
      <c r="E179" s="20"/>
    </row>
    <row r="180" spans="1:5" x14ac:dyDescent="0.2">
      <c r="A180" s="20" t="s">
        <v>690</v>
      </c>
      <c r="B180" s="10">
        <v>258404</v>
      </c>
      <c r="C180" s="20"/>
      <c r="D180" s="20"/>
      <c r="E180" s="20"/>
    </row>
    <row r="181" spans="1:5" x14ac:dyDescent="0.2">
      <c r="A181" s="20" t="s">
        <v>692</v>
      </c>
      <c r="B181" s="10">
        <v>258405</v>
      </c>
      <c r="C181" s="20"/>
      <c r="D181" s="20"/>
      <c r="E181" s="20"/>
    </row>
    <row r="182" spans="1:5" x14ac:dyDescent="0.2">
      <c r="A182" s="20" t="s">
        <v>694</v>
      </c>
      <c r="B182" s="10">
        <v>258406</v>
      </c>
      <c r="C182" s="20"/>
      <c r="D182" s="20"/>
      <c r="E182" s="20"/>
    </row>
    <row r="183" spans="1:5" x14ac:dyDescent="0.2">
      <c r="A183" s="20" t="s">
        <v>696</v>
      </c>
      <c r="B183" s="10">
        <v>206160</v>
      </c>
      <c r="C183" s="20"/>
      <c r="D183" s="20"/>
      <c r="E183" s="20"/>
    </row>
    <row r="184" spans="1:5" x14ac:dyDescent="0.2">
      <c r="A184" s="20" t="s">
        <v>698</v>
      </c>
      <c r="B184" s="10" t="s">
        <v>700</v>
      </c>
      <c r="C184" s="20"/>
      <c r="D184" s="20"/>
      <c r="E184" s="20"/>
    </row>
    <row r="185" spans="1:5" x14ac:dyDescent="0.2">
      <c r="A185" s="20" t="s">
        <v>701</v>
      </c>
      <c r="B185" s="10" t="s">
        <v>702</v>
      </c>
      <c r="C185" s="20"/>
      <c r="D185" s="20"/>
      <c r="E185" s="20"/>
    </row>
    <row r="186" spans="1:5" x14ac:dyDescent="0.2">
      <c r="A186" s="20" t="s">
        <v>703</v>
      </c>
      <c r="B186" s="10" t="s">
        <v>705</v>
      </c>
      <c r="C186" s="20"/>
      <c r="D186" s="20"/>
      <c r="E186" s="20"/>
    </row>
    <row r="187" spans="1:5" x14ac:dyDescent="0.2">
      <c r="A187" s="20" t="s">
        <v>706</v>
      </c>
      <c r="B187" s="10">
        <v>206146</v>
      </c>
      <c r="C187" s="20"/>
      <c r="D187" s="20"/>
      <c r="E187" s="20"/>
    </row>
    <row r="188" spans="1:5" x14ac:dyDescent="0.2">
      <c r="A188" s="20" t="s">
        <v>708</v>
      </c>
      <c r="B188" s="10" t="s">
        <v>709</v>
      </c>
      <c r="C188" s="20"/>
      <c r="D188" s="20"/>
      <c r="E188" s="20"/>
    </row>
    <row r="189" spans="1:5" x14ac:dyDescent="0.2">
      <c r="A189" s="20" t="s">
        <v>715</v>
      </c>
      <c r="B189" s="10" t="s">
        <v>716</v>
      </c>
      <c r="C189" s="20"/>
      <c r="D189" s="20"/>
      <c r="E189" s="20"/>
    </row>
    <row r="190" spans="1:5" x14ac:dyDescent="0.2">
      <c r="A190" s="20" t="s">
        <v>717</v>
      </c>
      <c r="B190" s="10" t="s">
        <v>719</v>
      </c>
      <c r="C190" s="20"/>
      <c r="D190" s="20"/>
      <c r="E190" s="20"/>
    </row>
    <row r="191" spans="1:5" x14ac:dyDescent="0.2">
      <c r="A191" s="20" t="s">
        <v>720</v>
      </c>
      <c r="B191" s="10" t="s">
        <v>721</v>
      </c>
      <c r="C191" s="20"/>
      <c r="D191" s="20"/>
      <c r="E191" s="20"/>
    </row>
    <row r="192" spans="1:5" x14ac:dyDescent="0.2">
      <c r="A192" s="20" t="s">
        <v>722</v>
      </c>
      <c r="B192" s="10">
        <v>113044</v>
      </c>
      <c r="C192" s="20"/>
      <c r="D192" s="20"/>
      <c r="E192" s="20"/>
    </row>
    <row r="193" spans="1:5" x14ac:dyDescent="0.2">
      <c r="A193" s="20" t="s">
        <v>724</v>
      </c>
      <c r="B193" s="10" t="s">
        <v>726</v>
      </c>
      <c r="C193" s="20"/>
      <c r="D193" s="20"/>
      <c r="E193" s="20"/>
    </row>
    <row r="194" spans="1:5" x14ac:dyDescent="0.2">
      <c r="A194" s="20" t="s">
        <v>727</v>
      </c>
      <c r="B194" s="10" t="s">
        <v>729</v>
      </c>
      <c r="C194" s="20"/>
      <c r="D194" s="20"/>
      <c r="E194" s="20"/>
    </row>
    <row r="195" spans="1:5" x14ac:dyDescent="0.2">
      <c r="A195" s="20" t="s">
        <v>730</v>
      </c>
      <c r="B195" s="10" t="s">
        <v>732</v>
      </c>
      <c r="C195" s="20"/>
      <c r="D195" s="20"/>
      <c r="E195" s="20"/>
    </row>
    <row r="196" spans="1:5" x14ac:dyDescent="0.2">
      <c r="A196" s="20" t="s">
        <v>733</v>
      </c>
      <c r="B196" s="10" t="s">
        <v>735</v>
      </c>
      <c r="C196" s="20"/>
      <c r="D196" s="20"/>
      <c r="E196" s="20"/>
    </row>
    <row r="197" spans="1:5" x14ac:dyDescent="0.2">
      <c r="A197" s="20" t="s">
        <v>736</v>
      </c>
      <c r="B197" s="10" t="s">
        <v>737</v>
      </c>
      <c r="C197" s="20"/>
      <c r="D197" s="20"/>
      <c r="E197" s="20"/>
    </row>
    <row r="198" spans="1:5" x14ac:dyDescent="0.2">
      <c r="A198" s="20" t="s">
        <v>738</v>
      </c>
      <c r="B198" s="10">
        <v>206152</v>
      </c>
      <c r="C198" s="20"/>
      <c r="D198" s="20"/>
      <c r="E198" s="20"/>
    </row>
    <row r="199" spans="1:5" x14ac:dyDescent="0.2">
      <c r="A199" s="20" t="s">
        <v>103</v>
      </c>
      <c r="B199" s="10">
        <v>3158</v>
      </c>
      <c r="C199" s="20"/>
      <c r="D199" s="20"/>
      <c r="E199" s="20"/>
    </row>
    <row r="200" spans="1:5" x14ac:dyDescent="0.2">
      <c r="A200" s="20" t="s">
        <v>740</v>
      </c>
      <c r="B200" s="10">
        <v>206153</v>
      </c>
      <c r="C200" s="20"/>
      <c r="D200" s="20"/>
      <c r="E200" s="20"/>
    </row>
    <row r="201" spans="1:5" x14ac:dyDescent="0.2">
      <c r="A201" s="20" t="s">
        <v>742</v>
      </c>
      <c r="B201" s="10">
        <v>206154</v>
      </c>
      <c r="C201" s="20"/>
      <c r="D201" s="20"/>
      <c r="E201" s="20"/>
    </row>
    <row r="202" spans="1:5" x14ac:dyDescent="0.2">
      <c r="A202" s="20" t="s">
        <v>744</v>
      </c>
      <c r="B202" s="10" t="s">
        <v>745</v>
      </c>
      <c r="C202" s="20"/>
      <c r="D202" s="20"/>
      <c r="E202" s="20"/>
    </row>
    <row r="203" spans="1:5" x14ac:dyDescent="0.2">
      <c r="A203" s="20" t="s">
        <v>41</v>
      </c>
      <c r="B203" s="10">
        <v>1010</v>
      </c>
      <c r="C203" s="20"/>
      <c r="D203" s="20"/>
      <c r="E203" s="20"/>
    </row>
    <row r="204" spans="1:5" x14ac:dyDescent="0.2">
      <c r="A204" s="20" t="s">
        <v>746</v>
      </c>
      <c r="B204" s="10" t="s">
        <v>748</v>
      </c>
      <c r="C204" s="20"/>
      <c r="D204" s="20"/>
      <c r="E204" s="20"/>
    </row>
    <row r="205" spans="1:5" x14ac:dyDescent="0.2">
      <c r="A205" s="20" t="s">
        <v>749</v>
      </c>
      <c r="B205" s="10" t="s">
        <v>751</v>
      </c>
      <c r="C205" s="20"/>
      <c r="D205" s="20"/>
      <c r="E205" s="20"/>
    </row>
    <row r="206" spans="1:5" x14ac:dyDescent="0.2">
      <c r="A206" s="20" t="s">
        <v>752</v>
      </c>
      <c r="B206" s="10">
        <v>206103</v>
      </c>
      <c r="C206" s="20"/>
      <c r="D206" s="20"/>
      <c r="E206" s="20"/>
    </row>
    <row r="207" spans="1:5" x14ac:dyDescent="0.2">
      <c r="A207" s="20" t="s">
        <v>753</v>
      </c>
      <c r="B207" s="10" t="s">
        <v>755</v>
      </c>
      <c r="C207" s="20"/>
      <c r="D207" s="20"/>
      <c r="E207" s="20"/>
    </row>
    <row r="208" spans="1:5" x14ac:dyDescent="0.2">
      <c r="A208" s="20" t="s">
        <v>756</v>
      </c>
      <c r="B208" s="10" t="s">
        <v>758</v>
      </c>
      <c r="C208" s="20"/>
      <c r="D208" s="20"/>
      <c r="E208" s="20"/>
    </row>
    <row r="209" spans="1:6" x14ac:dyDescent="0.2">
      <c r="A209" s="211" t="s">
        <v>759</v>
      </c>
      <c r="B209" s="828">
        <v>258420</v>
      </c>
      <c r="C209" s="211"/>
      <c r="D209" s="211"/>
      <c r="E209" s="20"/>
    </row>
    <row r="210" spans="1:6" x14ac:dyDescent="0.2">
      <c r="A210" s="211" t="s">
        <v>761</v>
      </c>
      <c r="B210" s="828">
        <v>258424</v>
      </c>
      <c r="C210" s="211"/>
      <c r="D210" s="211"/>
      <c r="E210" s="20"/>
    </row>
    <row r="211" spans="1:6" x14ac:dyDescent="0.2">
      <c r="A211" s="211" t="s">
        <v>42</v>
      </c>
      <c r="B211" s="828">
        <v>1009</v>
      </c>
      <c r="C211" s="211"/>
      <c r="D211" s="211"/>
      <c r="E211" s="20"/>
    </row>
    <row r="212" spans="1:6" x14ac:dyDescent="0.2">
      <c r="A212" s="211" t="s">
        <v>770</v>
      </c>
      <c r="B212" s="828" t="s">
        <v>771</v>
      </c>
      <c r="C212" s="211"/>
      <c r="D212" s="211"/>
      <c r="E212" s="20"/>
    </row>
    <row r="213" spans="1:6" x14ac:dyDescent="0.2">
      <c r="A213" s="211" t="s">
        <v>765</v>
      </c>
      <c r="B213" s="828" t="s">
        <v>767</v>
      </c>
      <c r="C213" s="211"/>
      <c r="D213" s="211"/>
      <c r="E213" s="20"/>
    </row>
    <row r="214" spans="1:6" x14ac:dyDescent="0.2">
      <c r="A214" s="211" t="s">
        <v>43</v>
      </c>
      <c r="B214" s="828">
        <v>1015</v>
      </c>
      <c r="C214" s="211"/>
      <c r="D214" s="211"/>
      <c r="E214" s="20"/>
    </row>
    <row r="215" spans="1:6" x14ac:dyDescent="0.2">
      <c r="A215" s="211" t="s">
        <v>768</v>
      </c>
      <c r="B215" s="828" t="s">
        <v>769</v>
      </c>
      <c r="C215" s="211"/>
      <c r="D215" s="211"/>
      <c r="E215" s="20"/>
    </row>
    <row r="216" spans="1:6" x14ac:dyDescent="0.2">
      <c r="A216" s="211" t="s">
        <v>772</v>
      </c>
      <c r="B216" s="828">
        <v>509204</v>
      </c>
      <c r="C216" s="211"/>
      <c r="D216" s="211"/>
      <c r="E216" s="20"/>
    </row>
    <row r="217" spans="1:6" x14ac:dyDescent="0.2">
      <c r="A217" s="491" t="s">
        <v>569</v>
      </c>
      <c r="B217" s="654" t="s">
        <v>570</v>
      </c>
      <c r="C217" s="654"/>
      <c r="D217" s="793"/>
      <c r="E217" s="806"/>
      <c r="F217" s="198"/>
    </row>
    <row r="218" spans="1:6" x14ac:dyDescent="0.2">
      <c r="A218" s="665" t="s">
        <v>571</v>
      </c>
      <c r="B218" s="662" t="s">
        <v>572</v>
      </c>
      <c r="C218" s="662"/>
      <c r="D218" s="793"/>
      <c r="E218" s="806"/>
      <c r="F218" s="198"/>
    </row>
    <row r="219" spans="1:6" ht="15" x14ac:dyDescent="0.25">
      <c r="A219" s="665" t="s">
        <v>573</v>
      </c>
      <c r="B219" s="661" t="s">
        <v>574</v>
      </c>
      <c r="C219" s="661"/>
      <c r="D219" s="793"/>
      <c r="E219" s="806"/>
      <c r="F219" s="198"/>
    </row>
    <row r="220" spans="1:6" x14ac:dyDescent="0.2">
      <c r="A220" s="659" t="s">
        <v>593</v>
      </c>
      <c r="B220" s="657" t="s">
        <v>594</v>
      </c>
      <c r="C220" s="657"/>
      <c r="D220" s="793"/>
      <c r="E220" s="595"/>
      <c r="F220" s="198"/>
    </row>
    <row r="221" spans="1:6" x14ac:dyDescent="0.2">
      <c r="A221" s="659" t="s">
        <v>595</v>
      </c>
      <c r="B221" s="657" t="s">
        <v>596</v>
      </c>
      <c r="C221" s="657"/>
      <c r="D221" s="793"/>
      <c r="E221" s="806"/>
      <c r="F221" s="198"/>
    </row>
    <row r="222" spans="1:6" x14ac:dyDescent="0.2">
      <c r="A222" s="331" t="s">
        <v>1026</v>
      </c>
      <c r="B222" s="331" t="s">
        <v>599</v>
      </c>
      <c r="C222" s="331"/>
      <c r="D222" s="793"/>
      <c r="E222" s="595"/>
      <c r="F222" s="198"/>
    </row>
    <row r="223" spans="1:6" x14ac:dyDescent="0.2">
      <c r="A223" s="331" t="s">
        <v>1027</v>
      </c>
      <c r="B223" s="331" t="s">
        <v>600</v>
      </c>
      <c r="C223" s="331"/>
      <c r="D223" s="793"/>
      <c r="E223" s="595"/>
      <c r="F223" s="198"/>
    </row>
    <row r="224" spans="1:6" x14ac:dyDescent="0.2">
      <c r="A224" s="331" t="s">
        <v>1014</v>
      </c>
      <c r="B224" s="331" t="s">
        <v>601</v>
      </c>
      <c r="C224" s="331"/>
      <c r="D224" s="793"/>
      <c r="E224" s="595"/>
      <c r="F224" s="198"/>
    </row>
    <row r="225" spans="1:6" x14ac:dyDescent="0.2">
      <c r="A225" s="331" t="s">
        <v>1015</v>
      </c>
      <c r="B225" s="331" t="s">
        <v>602</v>
      </c>
      <c r="C225" s="331"/>
      <c r="D225" s="793"/>
      <c r="E225" s="595"/>
      <c r="F225" s="198"/>
    </row>
    <row r="226" spans="1:6" x14ac:dyDescent="0.2">
      <c r="A226" s="331" t="s">
        <v>1016</v>
      </c>
      <c r="B226" s="331" t="s">
        <v>604</v>
      </c>
      <c r="C226" s="331"/>
      <c r="D226" s="793"/>
      <c r="E226" s="595"/>
      <c r="F226" s="198"/>
    </row>
    <row r="227" spans="1:6" x14ac:dyDescent="0.2">
      <c r="A227" s="331" t="s">
        <v>1017</v>
      </c>
      <c r="B227" s="331" t="s">
        <v>605</v>
      </c>
      <c r="C227" s="331"/>
      <c r="D227" s="793"/>
      <c r="E227" s="595"/>
      <c r="F227" s="198"/>
    </row>
    <row r="228" spans="1:6" x14ac:dyDescent="0.2">
      <c r="A228" s="612" t="s">
        <v>1018</v>
      </c>
      <c r="B228" s="658" t="s">
        <v>607</v>
      </c>
      <c r="C228" s="658"/>
      <c r="D228" s="793"/>
      <c r="E228" s="595"/>
      <c r="F228" s="198"/>
    </row>
    <row r="229" spans="1:6" x14ac:dyDescent="0.2">
      <c r="A229" s="664" t="s">
        <v>1019</v>
      </c>
      <c r="B229" s="662" t="s">
        <v>608</v>
      </c>
      <c r="C229" s="662"/>
      <c r="D229" s="793"/>
      <c r="E229" s="595"/>
      <c r="F229" s="198"/>
    </row>
    <row r="230" spans="1:6" x14ac:dyDescent="0.2">
      <c r="A230" s="607" t="s">
        <v>1020</v>
      </c>
      <c r="B230" s="807" t="s">
        <v>609</v>
      </c>
      <c r="C230" s="807"/>
      <c r="D230" s="793"/>
      <c r="E230" s="595"/>
      <c r="F230" s="198"/>
    </row>
    <row r="231" spans="1:6" x14ac:dyDescent="0.2">
      <c r="A231" s="808" t="s">
        <v>1021</v>
      </c>
      <c r="B231" s="662" t="s">
        <v>610</v>
      </c>
      <c r="C231" s="662"/>
      <c r="D231" s="793"/>
      <c r="E231" s="595"/>
      <c r="F231" s="198"/>
    </row>
    <row r="232" spans="1:6" x14ac:dyDescent="0.2">
      <c r="A232" s="612" t="s">
        <v>1022</v>
      </c>
      <c r="B232" s="608" t="s">
        <v>611</v>
      </c>
      <c r="C232" s="608"/>
      <c r="D232" s="793"/>
      <c r="E232" s="595"/>
      <c r="F232" s="198"/>
    </row>
    <row r="233" spans="1:6" x14ac:dyDescent="0.2">
      <c r="A233" s="607" t="s">
        <v>905</v>
      </c>
      <c r="B233" s="608" t="s">
        <v>612</v>
      </c>
      <c r="C233" s="608"/>
      <c r="D233" s="793"/>
      <c r="E233" s="595"/>
      <c r="F233" s="198"/>
    </row>
    <row r="234" spans="1:6" x14ac:dyDescent="0.2">
      <c r="A234" s="808" t="s">
        <v>1023</v>
      </c>
      <c r="B234" s="802" t="s">
        <v>614</v>
      </c>
      <c r="C234" s="802"/>
      <c r="D234" s="793"/>
      <c r="E234" s="595"/>
      <c r="F234" s="198"/>
    </row>
    <row r="235" spans="1:6" x14ac:dyDescent="0.2">
      <c r="A235" s="612" t="s">
        <v>1024</v>
      </c>
      <c r="B235" s="608">
        <v>206043</v>
      </c>
      <c r="C235" s="608"/>
      <c r="D235" s="793"/>
      <c r="E235" s="595"/>
      <c r="F235" s="198"/>
    </row>
    <row r="236" spans="1:6" x14ac:dyDescent="0.2">
      <c r="A236" s="611" t="s">
        <v>1025</v>
      </c>
      <c r="B236" s="809" t="s">
        <v>616</v>
      </c>
      <c r="C236" s="809"/>
      <c r="D236" s="793"/>
      <c r="E236" s="595"/>
      <c r="F236" s="198"/>
    </row>
    <row r="237" spans="1:6" x14ac:dyDescent="0.2">
      <c r="A237" s="804" t="s">
        <v>669</v>
      </c>
      <c r="B237" s="722" t="s">
        <v>670</v>
      </c>
      <c r="C237" s="722"/>
      <c r="D237" s="793"/>
      <c r="E237" s="806"/>
      <c r="F237" s="198"/>
    </row>
    <row r="238" spans="1:6" x14ac:dyDescent="0.2">
      <c r="A238" s="659" t="s">
        <v>681</v>
      </c>
      <c r="B238" s="657" t="s">
        <v>682</v>
      </c>
      <c r="C238" s="657"/>
      <c r="D238" s="793"/>
      <c r="E238" s="595"/>
      <c r="F238" s="198"/>
    </row>
    <row r="239" spans="1:6" x14ac:dyDescent="0.2">
      <c r="A239" s="491" t="s">
        <v>653</v>
      </c>
      <c r="B239" s="706" t="s">
        <v>654</v>
      </c>
      <c r="C239" s="706"/>
      <c r="D239" s="211"/>
      <c r="E239" s="211"/>
      <c r="F239" s="198"/>
    </row>
    <row r="240" spans="1:6" x14ac:dyDescent="0.2">
      <c r="A240" s="215" t="s">
        <v>63</v>
      </c>
      <c r="B240" s="823">
        <v>2448</v>
      </c>
      <c r="C240" s="823"/>
      <c r="D240" s="211"/>
      <c r="E240" s="211"/>
      <c r="F240" s="198"/>
    </row>
    <row r="241" spans="1:6" x14ac:dyDescent="0.2">
      <c r="A241" s="583" t="s">
        <v>1033</v>
      </c>
      <c r="B241" s="837">
        <v>4000</v>
      </c>
      <c r="C241" s="837"/>
      <c r="D241" s="211"/>
      <c r="E241" s="211"/>
      <c r="F241" s="198"/>
    </row>
    <row r="242" spans="1:6" x14ac:dyDescent="0.2">
      <c r="A242" s="211"/>
      <c r="B242" s="828"/>
      <c r="C242" s="211"/>
      <c r="D242" s="211"/>
      <c r="E242" s="211"/>
      <c r="F242" s="198"/>
    </row>
    <row r="243" spans="1:6" x14ac:dyDescent="0.2">
      <c r="A243" s="20"/>
      <c r="B243" s="10"/>
      <c r="C243" s="211"/>
      <c r="D243" s="211"/>
      <c r="E243" s="211"/>
      <c r="F243" s="198"/>
    </row>
    <row r="244" spans="1:6" x14ac:dyDescent="0.2">
      <c r="A244" s="20"/>
      <c r="B244" s="10"/>
      <c r="C244" s="211"/>
      <c r="D244" s="211"/>
      <c r="E244" s="211"/>
      <c r="F244" s="198"/>
    </row>
    <row r="245" spans="1:6" x14ac:dyDescent="0.2">
      <c r="A245" s="20"/>
      <c r="B245" s="10"/>
      <c r="C245" s="211"/>
      <c r="D245" s="211"/>
      <c r="E245" s="211"/>
      <c r="F245" s="198"/>
    </row>
    <row r="246" spans="1:6" x14ac:dyDescent="0.2">
      <c r="A246" s="20"/>
      <c r="B246" s="10"/>
      <c r="C246" s="211"/>
      <c r="D246" s="211"/>
      <c r="E246" s="211"/>
      <c r="F246" s="198"/>
    </row>
    <row r="247" spans="1:6" x14ac:dyDescent="0.2">
      <c r="A247" s="20"/>
      <c r="B247" s="10"/>
      <c r="C247" s="211"/>
      <c r="D247" s="211"/>
      <c r="E247" s="211"/>
      <c r="F247" s="198"/>
    </row>
    <row r="248" spans="1:6" x14ac:dyDescent="0.2">
      <c r="A248" s="20"/>
      <c r="B248" s="10"/>
      <c r="C248" s="211"/>
      <c r="D248" s="211"/>
      <c r="E248" s="211"/>
      <c r="F248" s="198"/>
    </row>
    <row r="249" spans="1:6" x14ac:dyDescent="0.2">
      <c r="A249" s="20"/>
      <c r="B249" s="10"/>
      <c r="C249" s="211"/>
      <c r="D249" s="211"/>
      <c r="E249" s="211"/>
      <c r="F249" s="198"/>
    </row>
    <row r="250" spans="1:6" x14ac:dyDescent="0.2">
      <c r="A250" s="20"/>
      <c r="B250" s="10"/>
      <c r="C250" s="20"/>
      <c r="D250" s="20"/>
      <c r="E250" s="20"/>
    </row>
    <row r="251" spans="1:6" x14ac:dyDescent="0.2">
      <c r="A251" s="20"/>
      <c r="B251" s="10"/>
      <c r="C251" s="20"/>
      <c r="D251" s="20"/>
      <c r="E251" s="20"/>
    </row>
    <row r="252" spans="1:6" x14ac:dyDescent="0.2">
      <c r="A252" s="20"/>
      <c r="B252" s="10"/>
      <c r="C252" s="20"/>
      <c r="D252" s="20"/>
      <c r="E252" s="20"/>
    </row>
    <row r="253" spans="1:6" x14ac:dyDescent="0.2">
      <c r="A253" s="20"/>
      <c r="B253" s="10"/>
      <c r="C253" s="20"/>
      <c r="D253" s="20"/>
      <c r="E253" s="20"/>
    </row>
    <row r="254" spans="1:6" x14ac:dyDescent="0.2">
      <c r="A254" s="20"/>
      <c r="B254" s="10"/>
      <c r="C254" s="20"/>
      <c r="D254" s="20"/>
      <c r="E254" s="20"/>
    </row>
    <row r="255" spans="1:6" x14ac:dyDescent="0.2">
      <c r="A255" s="20"/>
      <c r="B255" s="10"/>
      <c r="C255" s="20"/>
      <c r="D255" s="20"/>
      <c r="E255" s="20"/>
    </row>
    <row r="256" spans="1:6" x14ac:dyDescent="0.2">
      <c r="A256" s="20"/>
      <c r="B256" s="10"/>
      <c r="C256" s="20"/>
      <c r="D256" s="20"/>
      <c r="E256" s="20"/>
    </row>
    <row r="257" spans="1:5" x14ac:dyDescent="0.2">
      <c r="A257" s="20"/>
      <c r="B257" s="10"/>
      <c r="C257" s="20"/>
      <c r="D257" s="20"/>
      <c r="E257" s="20"/>
    </row>
    <row r="258" spans="1:5" x14ac:dyDescent="0.2">
      <c r="A258" s="20"/>
      <c r="B258" s="10"/>
      <c r="C258" s="20"/>
      <c r="D258" s="20"/>
      <c r="E258" s="20"/>
    </row>
    <row r="259" spans="1:5" x14ac:dyDescent="0.2">
      <c r="A259" s="20"/>
      <c r="B259" s="10"/>
      <c r="C259" s="20"/>
      <c r="D259" s="20"/>
      <c r="E259" s="20"/>
    </row>
    <row r="260" spans="1:5" x14ac:dyDescent="0.2">
      <c r="A260" s="20"/>
      <c r="B260" s="10"/>
      <c r="C260" s="20"/>
      <c r="D260" s="20"/>
      <c r="E260" s="20"/>
    </row>
    <row r="261" spans="1:5" x14ac:dyDescent="0.2">
      <c r="A261" s="20"/>
      <c r="B261" s="10"/>
      <c r="C261" s="20"/>
      <c r="D261" s="20"/>
      <c r="E261" s="20"/>
    </row>
    <row r="262" spans="1:5" x14ac:dyDescent="0.2">
      <c r="A262" s="20"/>
      <c r="B262" s="10"/>
      <c r="C262" s="20"/>
      <c r="D262" s="20"/>
      <c r="E262" s="20"/>
    </row>
    <row r="263" spans="1:5" x14ac:dyDescent="0.2">
      <c r="A263" s="20"/>
      <c r="B263" s="10"/>
      <c r="C263" s="20"/>
      <c r="D263" s="20"/>
      <c r="E263" s="20"/>
    </row>
    <row r="264" spans="1:5" x14ac:dyDescent="0.2">
      <c r="A264" s="20"/>
      <c r="B264" s="10"/>
      <c r="C264" s="20"/>
      <c r="D264" s="20"/>
      <c r="E264" s="20"/>
    </row>
    <row r="265" spans="1:5" x14ac:dyDescent="0.2">
      <c r="A265" s="20"/>
      <c r="B265" s="10"/>
      <c r="C265" s="20"/>
      <c r="D265" s="20"/>
      <c r="E265" s="20"/>
    </row>
    <row r="266" spans="1:5" x14ac:dyDescent="0.2">
      <c r="A266" s="20"/>
      <c r="B266" s="10"/>
      <c r="C266" s="20"/>
      <c r="D266" s="20"/>
      <c r="E266" s="20"/>
    </row>
    <row r="267" spans="1:5" x14ac:dyDescent="0.2">
      <c r="A267" s="20"/>
      <c r="B267" s="10"/>
      <c r="C267" s="20"/>
      <c r="D267" s="20"/>
      <c r="E267" s="20"/>
    </row>
    <row r="268" spans="1:5" x14ac:dyDescent="0.2">
      <c r="A268" s="20"/>
      <c r="B268" s="10"/>
      <c r="C268" s="20"/>
      <c r="D268" s="20"/>
      <c r="E268" s="20"/>
    </row>
    <row r="269" spans="1:5" x14ac:dyDescent="0.2">
      <c r="A269" s="20"/>
      <c r="B269" s="10"/>
      <c r="C269" s="20"/>
      <c r="D269" s="20"/>
      <c r="E269" s="20"/>
    </row>
    <row r="270" spans="1:5" x14ac:dyDescent="0.2">
      <c r="A270" s="20"/>
      <c r="B270" s="10"/>
      <c r="C270" s="20"/>
      <c r="D270" s="20"/>
      <c r="E270" s="20"/>
    </row>
    <row r="271" spans="1:5" x14ac:dyDescent="0.2">
      <c r="A271" s="20"/>
      <c r="B271" s="10"/>
      <c r="C271" s="20"/>
      <c r="D271" s="20"/>
      <c r="E271" s="20"/>
    </row>
    <row r="272" spans="1:5" x14ac:dyDescent="0.2">
      <c r="A272" s="20"/>
      <c r="B272" s="10"/>
      <c r="C272" s="20"/>
      <c r="D272" s="20"/>
      <c r="E272" s="20"/>
    </row>
    <row r="273" spans="1:5" x14ac:dyDescent="0.2">
      <c r="A273" s="20"/>
      <c r="B273" s="10"/>
      <c r="C273" s="20"/>
      <c r="D273" s="20"/>
      <c r="E273" s="20"/>
    </row>
    <row r="274" spans="1:5" x14ac:dyDescent="0.2">
      <c r="A274" s="20"/>
      <c r="B274" s="10"/>
      <c r="C274" s="20"/>
      <c r="D274" s="20"/>
      <c r="E274" s="20"/>
    </row>
    <row r="275" spans="1:5" x14ac:dyDescent="0.2">
      <c r="A275" s="20"/>
      <c r="B275" s="10"/>
      <c r="C275" s="20"/>
      <c r="D275" s="20"/>
      <c r="E275" s="20"/>
    </row>
    <row r="276" spans="1:5" x14ac:dyDescent="0.2">
      <c r="A276" s="20"/>
      <c r="B276" s="10"/>
      <c r="C276" s="20"/>
      <c r="D276" s="20"/>
      <c r="E276" s="20"/>
    </row>
    <row r="277" spans="1:5" x14ac:dyDescent="0.2">
      <c r="A277" s="20"/>
      <c r="B277" s="10"/>
      <c r="C277" s="20"/>
      <c r="D277" s="20"/>
      <c r="E277" s="20"/>
    </row>
    <row r="278" spans="1:5" x14ac:dyDescent="0.2">
      <c r="A278" s="20"/>
      <c r="B278" s="10"/>
      <c r="C278" s="20"/>
      <c r="D278" s="20"/>
      <c r="E278" s="20"/>
    </row>
    <row r="279" spans="1:5" x14ac:dyDescent="0.2">
      <c r="A279" s="20"/>
      <c r="B279" s="10"/>
      <c r="C279" s="20"/>
      <c r="D279" s="20"/>
      <c r="E279" s="20"/>
    </row>
    <row r="280" spans="1:5" x14ac:dyDescent="0.2">
      <c r="A280" s="20"/>
      <c r="B280" s="10"/>
      <c r="C280" s="20"/>
      <c r="D280" s="20"/>
      <c r="E280" s="20"/>
    </row>
    <row r="281" spans="1:5" x14ac:dyDescent="0.2">
      <c r="A281" s="20"/>
      <c r="B281" s="10"/>
      <c r="C281" s="20"/>
      <c r="D281" s="20"/>
      <c r="E281" s="20"/>
    </row>
  </sheetData>
  <sheetProtection password="EF5C" sheet="1" objects="1" scenarios="1"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zoomScale="80" zoomScaleNormal="80" workbookViewId="0">
      <selection sqref="A1:XFD1048576"/>
    </sheetView>
  </sheetViews>
  <sheetFormatPr defaultRowHeight="12.75" x14ac:dyDescent="0.2"/>
  <cols>
    <col min="1" max="1" width="52.42578125" bestFit="1" customWidth="1"/>
    <col min="2" max="2" width="17.140625" bestFit="1" customWidth="1"/>
    <col min="3" max="3" width="13" style="29" bestFit="1" customWidth="1"/>
  </cols>
  <sheetData>
    <row r="1" spans="1:3" x14ac:dyDescent="0.2">
      <c r="A1" s="9" t="s">
        <v>137</v>
      </c>
      <c r="B1" s="10"/>
    </row>
    <row r="2" spans="1:3" x14ac:dyDescent="0.2">
      <c r="A2" s="9" t="s">
        <v>138</v>
      </c>
      <c r="B2" s="10"/>
    </row>
    <row r="3" spans="1:3" x14ac:dyDescent="0.2">
      <c r="A3" s="9" t="s">
        <v>139</v>
      </c>
      <c r="B3" s="10"/>
    </row>
    <row r="4" spans="1:3" x14ac:dyDescent="0.2">
      <c r="A4" s="9" t="s">
        <v>140</v>
      </c>
      <c r="B4" s="10"/>
    </row>
    <row r="5" spans="1:3" x14ac:dyDescent="0.2">
      <c r="A5" s="9" t="s">
        <v>141</v>
      </c>
      <c r="B5" s="10"/>
    </row>
    <row r="6" spans="1:3" ht="25.5" x14ac:dyDescent="0.2">
      <c r="A6" s="25" t="s">
        <v>180</v>
      </c>
      <c r="B6" s="15" t="s">
        <v>142</v>
      </c>
      <c r="C6" s="46" t="s">
        <v>209</v>
      </c>
    </row>
    <row r="7" spans="1:3" x14ac:dyDescent="0.2">
      <c r="A7" s="18" t="s">
        <v>44</v>
      </c>
      <c r="B7" s="19">
        <v>2400</v>
      </c>
      <c r="C7" s="45">
        <v>0</v>
      </c>
    </row>
    <row r="8" spans="1:3" x14ac:dyDescent="0.2">
      <c r="A8" s="18" t="s">
        <v>45</v>
      </c>
      <c r="B8" s="19">
        <v>2443</v>
      </c>
      <c r="C8" s="45">
        <v>0</v>
      </c>
    </row>
    <row r="9" spans="1:3" x14ac:dyDescent="0.2">
      <c r="A9" s="18" t="s">
        <v>155</v>
      </c>
      <c r="B9" s="19">
        <v>2442</v>
      </c>
      <c r="C9" s="45">
        <v>0</v>
      </c>
    </row>
    <row r="10" spans="1:3" x14ac:dyDescent="0.2">
      <c r="A10" s="18" t="s">
        <v>47</v>
      </c>
      <c r="B10" s="19">
        <v>2629</v>
      </c>
      <c r="C10" s="45">
        <v>0</v>
      </c>
    </row>
    <row r="11" spans="1:3" x14ac:dyDescent="0.2">
      <c r="A11" s="18" t="s">
        <v>48</v>
      </c>
      <c r="B11" s="19">
        <v>2509</v>
      </c>
      <c r="C11" s="45">
        <v>0</v>
      </c>
    </row>
    <row r="12" spans="1:3" x14ac:dyDescent="0.2">
      <c r="A12" s="18" t="s">
        <v>49</v>
      </c>
      <c r="B12" s="19">
        <v>2005</v>
      </c>
      <c r="C12" s="45">
        <v>0</v>
      </c>
    </row>
    <row r="13" spans="1:3" x14ac:dyDescent="0.2">
      <c r="A13" s="18" t="s">
        <v>50</v>
      </c>
      <c r="B13" s="19">
        <v>2464</v>
      </c>
      <c r="C13" s="45">
        <v>0</v>
      </c>
    </row>
    <row r="14" spans="1:3" x14ac:dyDescent="0.2">
      <c r="A14" s="18" t="s">
        <v>51</v>
      </c>
      <c r="B14" s="19">
        <v>2004</v>
      </c>
      <c r="C14" s="45">
        <v>0</v>
      </c>
    </row>
    <row r="15" spans="1:3" x14ac:dyDescent="0.2">
      <c r="A15" s="18" t="s">
        <v>52</v>
      </c>
      <c r="B15" s="19">
        <v>2405</v>
      </c>
      <c r="C15" s="45">
        <v>0</v>
      </c>
    </row>
    <row r="16" spans="1:3" x14ac:dyDescent="0.2">
      <c r="A16" s="18" t="s">
        <v>156</v>
      </c>
      <c r="B16" s="19">
        <v>3525</v>
      </c>
      <c r="C16" s="45">
        <v>0</v>
      </c>
    </row>
    <row r="17" spans="1:3" x14ac:dyDescent="0.2">
      <c r="A17" s="18" t="s">
        <v>54</v>
      </c>
      <c r="B17" s="19">
        <v>5201</v>
      </c>
      <c r="C17" s="45">
        <v>0</v>
      </c>
    </row>
    <row r="18" spans="1:3" x14ac:dyDescent="0.2">
      <c r="A18" s="18" t="s">
        <v>157</v>
      </c>
      <c r="B18" s="19">
        <v>2007</v>
      </c>
      <c r="C18" s="45">
        <v>0</v>
      </c>
    </row>
    <row r="19" spans="1:3" x14ac:dyDescent="0.2">
      <c r="A19" s="18" t="s">
        <v>56</v>
      </c>
      <c r="B19" s="19">
        <v>2433</v>
      </c>
      <c r="C19" s="45">
        <v>0</v>
      </c>
    </row>
    <row r="20" spans="1:3" x14ac:dyDescent="0.2">
      <c r="A20" s="18" t="s">
        <v>57</v>
      </c>
      <c r="B20" s="19">
        <v>2432</v>
      </c>
      <c r="C20" s="45">
        <v>0</v>
      </c>
    </row>
    <row r="21" spans="1:3" x14ac:dyDescent="0.2">
      <c r="A21" s="18" t="s">
        <v>461</v>
      </c>
      <c r="B21" s="19">
        <v>2447</v>
      </c>
      <c r="C21" s="45">
        <v>0</v>
      </c>
    </row>
    <row r="22" spans="1:3" x14ac:dyDescent="0.2">
      <c r="A22" s="18" t="s">
        <v>60</v>
      </c>
      <c r="B22" s="19">
        <v>2512</v>
      </c>
      <c r="C22" s="45">
        <v>0</v>
      </c>
    </row>
    <row r="23" spans="1:3" x14ac:dyDescent="0.2">
      <c r="A23" s="18" t="s">
        <v>61</v>
      </c>
      <c r="B23" s="19">
        <v>2456</v>
      </c>
      <c r="C23" s="45">
        <v>0</v>
      </c>
    </row>
    <row r="24" spans="1:3" x14ac:dyDescent="0.2">
      <c r="A24" s="18" t="s">
        <v>62</v>
      </c>
      <c r="B24" s="19">
        <v>2449</v>
      </c>
      <c r="C24" s="45">
        <v>0</v>
      </c>
    </row>
    <row r="25" spans="1:3" x14ac:dyDescent="0.2">
      <c r="A25" s="18" t="s">
        <v>63</v>
      </c>
      <c r="B25" s="19">
        <v>2448</v>
      </c>
      <c r="C25" s="45">
        <v>0</v>
      </c>
    </row>
    <row r="26" spans="1:3" x14ac:dyDescent="0.2">
      <c r="A26" s="18" t="s">
        <v>193</v>
      </c>
      <c r="B26" s="19">
        <v>2467</v>
      </c>
      <c r="C26" s="45">
        <v>0</v>
      </c>
    </row>
    <row r="27" spans="1:3" x14ac:dyDescent="0.2">
      <c r="A27" s="18" t="s">
        <v>65</v>
      </c>
      <c r="B27" s="19">
        <v>2455</v>
      </c>
      <c r="C27" s="45">
        <v>0</v>
      </c>
    </row>
    <row r="28" spans="1:3" x14ac:dyDescent="0.2">
      <c r="A28" s="18" t="s">
        <v>66</v>
      </c>
      <c r="B28" s="19">
        <v>5203</v>
      </c>
      <c r="C28" s="45">
        <v>0</v>
      </c>
    </row>
    <row r="29" spans="1:3" x14ac:dyDescent="0.2">
      <c r="A29" s="18" t="s">
        <v>67</v>
      </c>
      <c r="B29" s="19">
        <v>2451</v>
      </c>
      <c r="C29" s="45">
        <v>0</v>
      </c>
    </row>
    <row r="30" spans="1:3" x14ac:dyDescent="0.2">
      <c r="A30" s="18" t="s">
        <v>68</v>
      </c>
      <c r="B30" s="19">
        <v>2409</v>
      </c>
      <c r="C30" s="45">
        <v>0</v>
      </c>
    </row>
    <row r="31" spans="1:3" x14ac:dyDescent="0.2">
      <c r="A31" s="18" t="s">
        <v>159</v>
      </c>
      <c r="B31" s="19">
        <v>3158</v>
      </c>
      <c r="C31" s="45">
        <v>0</v>
      </c>
    </row>
    <row r="32" spans="1:3" x14ac:dyDescent="0.2">
      <c r="A32" s="18" t="s">
        <v>69</v>
      </c>
      <c r="B32" s="19">
        <v>2619</v>
      </c>
      <c r="C32" s="45">
        <v>0</v>
      </c>
    </row>
    <row r="33" spans="1:3" x14ac:dyDescent="0.2">
      <c r="A33" s="18" t="s">
        <v>70</v>
      </c>
      <c r="B33" s="19">
        <v>2518</v>
      </c>
      <c r="C33" s="45">
        <v>0</v>
      </c>
    </row>
    <row r="34" spans="1:3" x14ac:dyDescent="0.2">
      <c r="A34" s="18" t="s">
        <v>71</v>
      </c>
      <c r="B34" s="19">
        <v>2457</v>
      </c>
      <c r="C34" s="45">
        <v>0</v>
      </c>
    </row>
    <row r="35" spans="1:3" x14ac:dyDescent="0.2">
      <c r="A35" s="18" t="s">
        <v>160</v>
      </c>
      <c r="B35" s="220">
        <v>2010</v>
      </c>
      <c r="C35" s="45">
        <v>0</v>
      </c>
    </row>
    <row r="36" spans="1:3" x14ac:dyDescent="0.2">
      <c r="A36" s="18" t="s">
        <v>73</v>
      </c>
      <c r="B36" s="19">
        <v>2002</v>
      </c>
      <c r="C36" s="45">
        <v>0</v>
      </c>
    </row>
    <row r="37" spans="1:3" x14ac:dyDescent="0.2">
      <c r="A37" s="18" t="s">
        <v>74</v>
      </c>
      <c r="B37" s="19">
        <v>3544</v>
      </c>
      <c r="C37" s="45">
        <v>127673</v>
      </c>
    </row>
    <row r="38" spans="1:3" x14ac:dyDescent="0.2">
      <c r="A38" s="18" t="s">
        <v>161</v>
      </c>
      <c r="B38" s="19">
        <v>2006</v>
      </c>
      <c r="C38" s="45">
        <v>0</v>
      </c>
    </row>
    <row r="39" spans="1:3" x14ac:dyDescent="0.2">
      <c r="A39" s="18" t="s">
        <v>76</v>
      </c>
      <c r="B39" s="19">
        <v>2434</v>
      </c>
      <c r="C39" s="45">
        <v>137498</v>
      </c>
    </row>
    <row r="40" spans="1:3" x14ac:dyDescent="0.2">
      <c r="A40" s="18" t="s">
        <v>77</v>
      </c>
      <c r="B40" s="19">
        <v>2522</v>
      </c>
      <c r="C40" s="45">
        <v>0</v>
      </c>
    </row>
    <row r="41" spans="1:3" x14ac:dyDescent="0.2">
      <c r="A41" s="18" t="s">
        <v>78</v>
      </c>
      <c r="B41" s="19">
        <v>2436</v>
      </c>
      <c r="C41" s="45">
        <v>0</v>
      </c>
    </row>
    <row r="42" spans="1:3" x14ac:dyDescent="0.2">
      <c r="A42" s="18" t="s">
        <v>79</v>
      </c>
      <c r="B42" s="19">
        <v>2452</v>
      </c>
      <c r="C42" s="45">
        <v>0</v>
      </c>
    </row>
    <row r="43" spans="1:3" x14ac:dyDescent="0.2">
      <c r="A43" s="18" t="s">
        <v>80</v>
      </c>
      <c r="B43" s="19">
        <v>2627</v>
      </c>
      <c r="C43" s="45">
        <v>0</v>
      </c>
    </row>
    <row r="44" spans="1:3" x14ac:dyDescent="0.2">
      <c r="A44" s="18" t="s">
        <v>81</v>
      </c>
      <c r="B44" s="19">
        <v>2009</v>
      </c>
      <c r="C44" s="45">
        <v>0</v>
      </c>
    </row>
    <row r="45" spans="1:3" x14ac:dyDescent="0.2">
      <c r="A45" s="18" t="s">
        <v>162</v>
      </c>
      <c r="B45" s="19">
        <v>2473</v>
      </c>
      <c r="C45" s="45">
        <v>0</v>
      </c>
    </row>
    <row r="46" spans="1:3" x14ac:dyDescent="0.2">
      <c r="A46" s="18" t="s">
        <v>84</v>
      </c>
      <c r="B46" s="19">
        <v>2471</v>
      </c>
      <c r="C46" s="45">
        <v>0</v>
      </c>
    </row>
    <row r="47" spans="1:3" x14ac:dyDescent="0.2">
      <c r="A47" s="18" t="s">
        <v>82</v>
      </c>
      <c r="B47" s="19">
        <v>2420</v>
      </c>
      <c r="C47" s="45">
        <v>0</v>
      </c>
    </row>
    <row r="48" spans="1:3" x14ac:dyDescent="0.2">
      <c r="A48" s="18" t="s">
        <v>85</v>
      </c>
      <c r="B48" s="19">
        <v>2003</v>
      </c>
      <c r="C48" s="45">
        <v>0</v>
      </c>
    </row>
    <row r="49" spans="1:3" x14ac:dyDescent="0.2">
      <c r="A49" s="18" t="s">
        <v>86</v>
      </c>
      <c r="B49" s="19">
        <v>2423</v>
      </c>
      <c r="C49" s="45">
        <v>0</v>
      </c>
    </row>
    <row r="50" spans="1:3" x14ac:dyDescent="0.2">
      <c r="A50" s="18" t="s">
        <v>87</v>
      </c>
      <c r="B50" s="19">
        <v>2424</v>
      </c>
      <c r="C50" s="45">
        <v>0</v>
      </c>
    </row>
    <row r="51" spans="1:3" x14ac:dyDescent="0.2">
      <c r="A51" s="18" t="s">
        <v>88</v>
      </c>
      <c r="B51" s="19">
        <v>2439</v>
      </c>
      <c r="C51" s="45">
        <v>0</v>
      </c>
    </row>
    <row r="52" spans="1:3" x14ac:dyDescent="0.2">
      <c r="A52" s="18" t="s">
        <v>89</v>
      </c>
      <c r="B52" s="19">
        <v>2440</v>
      </c>
      <c r="C52" s="45">
        <v>0</v>
      </c>
    </row>
    <row r="53" spans="1:3" x14ac:dyDescent="0.2">
      <c r="A53" s="18" t="s">
        <v>163</v>
      </c>
      <c r="B53" s="19">
        <v>2462</v>
      </c>
      <c r="C53" s="45">
        <v>0</v>
      </c>
    </row>
    <row r="54" spans="1:3" x14ac:dyDescent="0.2">
      <c r="A54" s="18" t="s">
        <v>91</v>
      </c>
      <c r="B54" s="19">
        <v>2463</v>
      </c>
      <c r="C54" s="45">
        <v>0</v>
      </c>
    </row>
    <row r="55" spans="1:3" x14ac:dyDescent="0.2">
      <c r="A55" s="18" t="s">
        <v>92</v>
      </c>
      <c r="B55" s="19">
        <v>2505</v>
      </c>
      <c r="C55" s="45">
        <v>0</v>
      </c>
    </row>
    <row r="56" spans="1:3" x14ac:dyDescent="0.2">
      <c r="A56" s="18" t="s">
        <v>93</v>
      </c>
      <c r="B56" s="19">
        <v>2000</v>
      </c>
      <c r="C56" s="45">
        <v>0</v>
      </c>
    </row>
    <row r="57" spans="1:3" x14ac:dyDescent="0.2">
      <c r="A57" s="18" t="s">
        <v>94</v>
      </c>
      <c r="B57" s="19">
        <v>2458</v>
      </c>
      <c r="C57" s="45">
        <v>0</v>
      </c>
    </row>
    <row r="58" spans="1:3" x14ac:dyDescent="0.2">
      <c r="A58" s="18" t="s">
        <v>95</v>
      </c>
      <c r="B58" s="19">
        <v>2001</v>
      </c>
      <c r="C58" s="45">
        <v>0</v>
      </c>
    </row>
    <row r="59" spans="1:3" x14ac:dyDescent="0.2">
      <c r="A59" s="18" t="s">
        <v>96</v>
      </c>
      <c r="B59" s="19">
        <v>2429</v>
      </c>
      <c r="C59" s="45">
        <v>0</v>
      </c>
    </row>
    <row r="60" spans="1:3" x14ac:dyDescent="0.2">
      <c r="A60" s="18" t="s">
        <v>97</v>
      </c>
      <c r="B60" s="19">
        <v>2444</v>
      </c>
      <c r="C60" s="45">
        <v>0</v>
      </c>
    </row>
    <row r="61" spans="1:3" x14ac:dyDescent="0.2">
      <c r="A61" s="18" t="s">
        <v>98</v>
      </c>
      <c r="B61" s="19">
        <v>5209</v>
      </c>
      <c r="C61" s="45">
        <v>0</v>
      </c>
    </row>
    <row r="62" spans="1:3" x14ac:dyDescent="0.2">
      <c r="A62" s="18" t="s">
        <v>99</v>
      </c>
      <c r="B62" s="19">
        <v>2469</v>
      </c>
      <c r="C62" s="45">
        <v>0</v>
      </c>
    </row>
    <row r="63" spans="1:3" x14ac:dyDescent="0.2">
      <c r="A63" s="18" t="s">
        <v>100</v>
      </c>
      <c r="B63" s="19">
        <v>2430</v>
      </c>
      <c r="C63" s="45">
        <v>22445</v>
      </c>
    </row>
    <row r="64" spans="1:3" x14ac:dyDescent="0.2">
      <c r="A64" s="18" t="s">
        <v>101</v>
      </c>
      <c r="B64" s="19">
        <v>2466</v>
      </c>
      <c r="C64" s="45">
        <v>0</v>
      </c>
    </row>
    <row r="65" spans="1:3" x14ac:dyDescent="0.2">
      <c r="A65" s="18" t="s">
        <v>102</v>
      </c>
      <c r="B65" s="19">
        <v>3543</v>
      </c>
      <c r="C65" s="45">
        <v>0</v>
      </c>
    </row>
    <row r="66" spans="1:3" x14ac:dyDescent="0.2">
      <c r="A66" s="18" t="s">
        <v>104</v>
      </c>
      <c r="B66" s="19">
        <v>3531</v>
      </c>
      <c r="C66" s="45">
        <v>0</v>
      </c>
    </row>
    <row r="67" spans="1:3" x14ac:dyDescent="0.2">
      <c r="A67" s="18" t="s">
        <v>164</v>
      </c>
      <c r="B67" s="19">
        <v>3526</v>
      </c>
      <c r="C67" s="45">
        <v>0</v>
      </c>
    </row>
    <row r="68" spans="1:3" x14ac:dyDescent="0.2">
      <c r="A68" s="18" t="s">
        <v>165</v>
      </c>
      <c r="B68" s="19">
        <v>3535</v>
      </c>
      <c r="C68" s="45">
        <v>0</v>
      </c>
    </row>
    <row r="69" spans="1:3" x14ac:dyDescent="0.2">
      <c r="A69" s="21" t="s">
        <v>107</v>
      </c>
      <c r="B69" s="19">
        <v>2008</v>
      </c>
      <c r="C69" s="45">
        <v>0</v>
      </c>
    </row>
    <row r="70" spans="1:3" x14ac:dyDescent="0.2">
      <c r="A70" s="18" t="s">
        <v>166</v>
      </c>
      <c r="B70" s="19">
        <v>3542</v>
      </c>
      <c r="C70" s="45">
        <v>0</v>
      </c>
    </row>
    <row r="71" spans="1:3" x14ac:dyDescent="0.2">
      <c r="A71" s="18" t="s">
        <v>167</v>
      </c>
      <c r="B71" s="19">
        <v>3528</v>
      </c>
      <c r="C71" s="45">
        <v>0</v>
      </c>
    </row>
    <row r="72" spans="1:3" x14ac:dyDescent="0.2">
      <c r="A72" s="18" t="s">
        <v>168</v>
      </c>
      <c r="B72" s="19">
        <v>3534</v>
      </c>
      <c r="C72" s="45">
        <v>0</v>
      </c>
    </row>
    <row r="73" spans="1:3" x14ac:dyDescent="0.2">
      <c r="A73" s="18" t="s">
        <v>169</v>
      </c>
      <c r="B73" s="19">
        <v>3532</v>
      </c>
      <c r="C73" s="45">
        <v>0</v>
      </c>
    </row>
    <row r="74" spans="1:3" x14ac:dyDescent="0.2">
      <c r="A74" s="18" t="s">
        <v>112</v>
      </c>
      <c r="B74" s="19">
        <v>3546</v>
      </c>
      <c r="C74" s="45">
        <v>0</v>
      </c>
    </row>
    <row r="75" spans="1:3" x14ac:dyDescent="0.2">
      <c r="A75" s="18" t="s">
        <v>170</v>
      </c>
      <c r="B75" s="19">
        <v>3530</v>
      </c>
      <c r="C75" s="45">
        <v>0</v>
      </c>
    </row>
    <row r="76" spans="1:3" x14ac:dyDescent="0.2">
      <c r="A76" s="18" t="s">
        <v>114</v>
      </c>
      <c r="B76" s="19">
        <v>2459</v>
      </c>
      <c r="C76" s="45">
        <v>0</v>
      </c>
    </row>
    <row r="77" spans="1:3" x14ac:dyDescent="0.2">
      <c r="A77" s="18"/>
      <c r="B77" s="19"/>
      <c r="C77" s="45"/>
    </row>
    <row r="78" spans="1:3" x14ac:dyDescent="0.2">
      <c r="A78" s="9" t="s">
        <v>171</v>
      </c>
      <c r="B78" s="9" t="s">
        <v>171</v>
      </c>
      <c r="C78" s="45">
        <f>SUM(C7:C77)</f>
        <v>287616</v>
      </c>
    </row>
    <row r="79" spans="1:3" x14ac:dyDescent="0.2">
      <c r="A79" s="18"/>
      <c r="B79" s="19"/>
      <c r="C79" s="45"/>
    </row>
    <row r="80" spans="1:3" x14ac:dyDescent="0.2">
      <c r="A80" s="18" t="s">
        <v>127</v>
      </c>
      <c r="B80" s="19">
        <v>5402</v>
      </c>
      <c r="C80" s="45">
        <v>0</v>
      </c>
    </row>
    <row r="81" spans="1:3" x14ac:dyDescent="0.2">
      <c r="A81" s="18" t="s">
        <v>116</v>
      </c>
      <c r="B81" s="19">
        <v>4608</v>
      </c>
      <c r="C81" s="45">
        <v>20884</v>
      </c>
    </row>
    <row r="82" spans="1:3" x14ac:dyDescent="0.2">
      <c r="A82" s="18" t="s">
        <v>172</v>
      </c>
      <c r="B82" s="19">
        <v>4178</v>
      </c>
      <c r="C82" s="45">
        <v>0</v>
      </c>
    </row>
    <row r="83" spans="1:3" x14ac:dyDescent="0.2">
      <c r="A83" s="18" t="s">
        <v>118</v>
      </c>
      <c r="B83" s="19">
        <v>4181</v>
      </c>
      <c r="C83" s="45">
        <v>0</v>
      </c>
    </row>
    <row r="84" spans="1:3" x14ac:dyDescent="0.2">
      <c r="A84" s="18" t="s">
        <v>119</v>
      </c>
      <c r="B84" s="19">
        <v>4182</v>
      </c>
      <c r="C84" s="45">
        <v>0</v>
      </c>
    </row>
    <row r="85" spans="1:3" x14ac:dyDescent="0.2">
      <c r="A85" s="18" t="s">
        <v>120</v>
      </c>
      <c r="B85" s="221">
        <v>4001</v>
      </c>
      <c r="C85" s="45">
        <v>320131</v>
      </c>
    </row>
    <row r="86" spans="1:3" x14ac:dyDescent="0.2">
      <c r="A86" s="18" t="s">
        <v>173</v>
      </c>
      <c r="B86" s="19">
        <v>5406</v>
      </c>
      <c r="C86" s="45">
        <v>0</v>
      </c>
    </row>
    <row r="87" spans="1:3" x14ac:dyDescent="0.2">
      <c r="A87" s="18" t="s">
        <v>174</v>
      </c>
      <c r="B87" s="19">
        <v>5407</v>
      </c>
      <c r="C87" s="45">
        <v>382430</v>
      </c>
    </row>
    <row r="88" spans="1:3" x14ac:dyDescent="0.2">
      <c r="A88" s="18" t="s">
        <v>123</v>
      </c>
      <c r="B88" s="19">
        <v>4607</v>
      </c>
      <c r="C88" s="45">
        <v>0</v>
      </c>
    </row>
    <row r="89" spans="1:3" x14ac:dyDescent="0.2">
      <c r="A89" s="18" t="s">
        <v>124</v>
      </c>
      <c r="B89" s="221">
        <v>4002</v>
      </c>
      <c r="C89" s="45">
        <v>0</v>
      </c>
    </row>
    <row r="90" spans="1:3" x14ac:dyDescent="0.2">
      <c r="A90" s="18" t="s">
        <v>175</v>
      </c>
      <c r="B90" s="19">
        <v>4177</v>
      </c>
      <c r="C90" s="45">
        <v>0</v>
      </c>
    </row>
    <row r="91" spans="1:3" x14ac:dyDescent="0.2">
      <c r="A91" s="18" t="s">
        <v>126</v>
      </c>
      <c r="B91" s="19">
        <v>5412</v>
      </c>
      <c r="C91" s="45">
        <v>0</v>
      </c>
    </row>
    <row r="92" spans="1:3" x14ac:dyDescent="0.2">
      <c r="A92" s="18" t="s">
        <v>125</v>
      </c>
      <c r="B92" s="19">
        <v>5414</v>
      </c>
      <c r="C92" s="45">
        <v>0</v>
      </c>
    </row>
    <row r="93" spans="1:3" x14ac:dyDescent="0.2">
      <c r="A93" s="18"/>
      <c r="B93" s="19"/>
      <c r="C93" s="45"/>
    </row>
    <row r="94" spans="1:3" x14ac:dyDescent="0.2">
      <c r="A94" s="9" t="s">
        <v>176</v>
      </c>
      <c r="B94" s="9" t="s">
        <v>176</v>
      </c>
      <c r="C94" s="45">
        <f>SUM(C80:C93)</f>
        <v>723445</v>
      </c>
    </row>
    <row r="95" spans="1:3" x14ac:dyDescent="0.2">
      <c r="A95" s="18"/>
      <c r="B95" s="19"/>
      <c r="C95" s="45"/>
    </row>
    <row r="96" spans="1:3" x14ac:dyDescent="0.2">
      <c r="A96" s="9" t="s">
        <v>177</v>
      </c>
      <c r="B96" s="9" t="s">
        <v>178</v>
      </c>
      <c r="C96" s="45">
        <f>SUM(C94,C78)</f>
        <v>1011061</v>
      </c>
    </row>
    <row r="97" spans="1:2" x14ac:dyDescent="0.2">
      <c r="A97" s="586" t="s">
        <v>867</v>
      </c>
      <c r="B97" s="646">
        <v>12345</v>
      </c>
    </row>
    <row r="101" spans="1:2" x14ac:dyDescent="0.2">
      <c r="B101" t="s">
        <v>271</v>
      </c>
    </row>
    <row r="102" spans="1:2" x14ac:dyDescent="0.2">
      <c r="B102" s="37">
        <v>972751.21663703443</v>
      </c>
    </row>
  </sheetData>
  <sheetProtection password="EF5C" sheet="1" objects="1" scenarios="1" selectLockedCells="1" selectUnlockedCell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topLeftCell="A15" zoomScale="80" zoomScaleNormal="80" workbookViewId="0">
      <selection activeCell="A15" sqref="A1:XFD1048576"/>
    </sheetView>
  </sheetViews>
  <sheetFormatPr defaultRowHeight="12.75" x14ac:dyDescent="0.2"/>
  <cols>
    <col min="1" max="1" width="52.42578125" style="20" bestFit="1" customWidth="1"/>
    <col min="2" max="2" width="17.140625" style="10" bestFit="1" customWidth="1"/>
    <col min="3" max="3" width="10.7109375" style="20" customWidth="1"/>
    <col min="4" max="4" width="11.42578125" style="20" customWidth="1"/>
    <col min="5" max="5" width="9.140625" style="20"/>
    <col min="6" max="6" width="11.140625" style="20" bestFit="1" customWidth="1"/>
    <col min="7" max="13" width="9.140625" style="20"/>
    <col min="14" max="14" width="16.42578125" style="27" customWidth="1"/>
    <col min="15" max="15" width="12" bestFit="1" customWidth="1"/>
  </cols>
  <sheetData>
    <row r="1" spans="1:15" ht="25.5" x14ac:dyDescent="0.2">
      <c r="A1" s="9" t="s">
        <v>137</v>
      </c>
      <c r="B1" s="200" t="s">
        <v>258</v>
      </c>
      <c r="C1" s="189"/>
      <c r="D1" s="189"/>
      <c r="E1" s="189"/>
      <c r="F1" s="189"/>
      <c r="G1" s="189"/>
      <c r="H1" s="189"/>
      <c r="I1" s="12"/>
      <c r="J1" s="13">
        <v>73.013413092534819</v>
      </c>
      <c r="K1" s="12"/>
      <c r="L1" s="12"/>
      <c r="M1" s="12"/>
      <c r="O1" s="13"/>
    </row>
    <row r="2" spans="1:15" x14ac:dyDescent="0.2">
      <c r="A2" s="9" t="s">
        <v>138</v>
      </c>
      <c r="B2" s="189"/>
      <c r="C2" s="189"/>
      <c r="D2" s="189"/>
      <c r="E2" s="189"/>
      <c r="F2" s="189"/>
      <c r="G2" s="189"/>
      <c r="H2" s="189"/>
      <c r="I2" s="12"/>
      <c r="J2" s="12"/>
      <c r="K2" s="12"/>
      <c r="L2" s="12"/>
      <c r="M2" s="12"/>
      <c r="O2" s="13"/>
    </row>
    <row r="3" spans="1:15" x14ac:dyDescent="0.2">
      <c r="A3" s="9" t="s">
        <v>139</v>
      </c>
      <c r="B3" s="189"/>
      <c r="C3" s="189"/>
      <c r="D3" s="189"/>
      <c r="E3" s="189"/>
      <c r="F3" s="189"/>
      <c r="G3" s="189"/>
      <c r="H3" s="189"/>
      <c r="I3" s="12"/>
      <c r="J3" s="12"/>
      <c r="K3" s="13">
        <v>66.1077094570079</v>
      </c>
      <c r="L3" s="12"/>
      <c r="M3" s="12"/>
      <c r="O3" s="13"/>
    </row>
    <row r="4" spans="1:15" x14ac:dyDescent="0.2">
      <c r="A4" s="9" t="s">
        <v>140</v>
      </c>
      <c r="C4" s="11"/>
      <c r="D4" s="11"/>
      <c r="E4" s="11"/>
      <c r="F4" s="11"/>
      <c r="G4" s="11"/>
      <c r="H4" s="11"/>
      <c r="I4" s="11"/>
      <c r="J4" s="11"/>
      <c r="K4" s="11"/>
      <c r="L4" s="13">
        <v>66.1077094570079</v>
      </c>
      <c r="M4" s="11"/>
      <c r="O4" s="13"/>
    </row>
    <row r="5" spans="1:15" x14ac:dyDescent="0.2">
      <c r="A5" s="9" t="s">
        <v>141</v>
      </c>
      <c r="C5" s="11"/>
      <c r="D5" s="11"/>
      <c r="E5" s="11"/>
      <c r="F5" s="11"/>
      <c r="G5" s="11"/>
      <c r="H5" s="11"/>
      <c r="I5" s="11"/>
      <c r="J5" s="11"/>
      <c r="K5" s="11"/>
      <c r="L5" s="11"/>
      <c r="M5" s="11"/>
    </row>
    <row r="6" spans="1:15" ht="63.75" x14ac:dyDescent="0.2">
      <c r="A6" s="25" t="s">
        <v>180</v>
      </c>
      <c r="B6" s="15" t="s">
        <v>181</v>
      </c>
      <c r="C6" s="16" t="s">
        <v>143</v>
      </c>
      <c r="D6" s="16" t="s">
        <v>144</v>
      </c>
      <c r="E6" s="16" t="s">
        <v>145</v>
      </c>
      <c r="F6" s="16" t="s">
        <v>146</v>
      </c>
      <c r="G6" s="16" t="s">
        <v>147</v>
      </c>
      <c r="H6" s="16" t="s">
        <v>148</v>
      </c>
      <c r="I6" s="16" t="s">
        <v>149</v>
      </c>
      <c r="J6" s="14" t="s">
        <v>150</v>
      </c>
      <c r="K6" s="14" t="s">
        <v>151</v>
      </c>
      <c r="L6" s="14" t="s">
        <v>152</v>
      </c>
      <c r="M6" s="14" t="s">
        <v>153</v>
      </c>
      <c r="N6" s="28" t="s">
        <v>223</v>
      </c>
    </row>
    <row r="7" spans="1:15" x14ac:dyDescent="0.2">
      <c r="A7" s="18" t="s">
        <v>44</v>
      </c>
      <c r="B7" s="19">
        <v>2400</v>
      </c>
      <c r="C7" s="18">
        <v>299</v>
      </c>
      <c r="D7" s="18">
        <v>0</v>
      </c>
      <c r="E7" s="18">
        <v>0</v>
      </c>
      <c r="F7" s="18">
        <f>SUM(C7:E7)</f>
        <v>299</v>
      </c>
      <c r="G7" s="18">
        <v>0</v>
      </c>
      <c r="H7" s="18">
        <v>0</v>
      </c>
      <c r="I7" s="18">
        <v>0</v>
      </c>
      <c r="J7" s="18">
        <f>C7-G7</f>
        <v>299</v>
      </c>
      <c r="K7" s="18">
        <f>D7-H7</f>
        <v>0</v>
      </c>
      <c r="L7" s="18">
        <f>E7-I7</f>
        <v>0</v>
      </c>
      <c r="M7" s="18">
        <f>SUM(J7:L7)</f>
        <v>299</v>
      </c>
      <c r="N7" s="29">
        <f>SUM(J7*$J$1)+SUM(K7*$K$3)+SUM(L7*$L$4)</f>
        <v>21831.010514667913</v>
      </c>
      <c r="O7" s="26"/>
    </row>
    <row r="8" spans="1:15" x14ac:dyDescent="0.2">
      <c r="A8" s="18" t="s">
        <v>45</v>
      </c>
      <c r="B8" s="19">
        <v>2443</v>
      </c>
      <c r="C8" s="18">
        <v>268</v>
      </c>
      <c r="D8" s="18">
        <v>0</v>
      </c>
      <c r="E8" s="18">
        <v>0</v>
      </c>
      <c r="F8" s="18">
        <f t="shared" ref="F8:F70" si="0">SUM(C8:E8)</f>
        <v>268</v>
      </c>
      <c r="G8" s="18">
        <v>0</v>
      </c>
      <c r="H8" s="18">
        <v>0</v>
      </c>
      <c r="I8" s="18">
        <v>0</v>
      </c>
      <c r="J8" s="18">
        <f t="shared" ref="J8:L70" si="1">C8-G8</f>
        <v>268</v>
      </c>
      <c r="K8" s="18">
        <f t="shared" si="1"/>
        <v>0</v>
      </c>
      <c r="L8" s="18">
        <f t="shared" si="1"/>
        <v>0</v>
      </c>
      <c r="M8" s="18">
        <f t="shared" ref="M8:M70" si="2">SUM(J8:L8)</f>
        <v>268</v>
      </c>
      <c r="N8" s="29">
        <f t="shared" ref="N8:N70" si="3">SUM(J8*$J$1)+SUM(K8*$K$3)+SUM(L8*$L$4)</f>
        <v>19567.59470879933</v>
      </c>
    </row>
    <row r="9" spans="1:15" x14ac:dyDescent="0.2">
      <c r="A9" s="18" t="s">
        <v>155</v>
      </c>
      <c r="B9" s="19">
        <v>2442</v>
      </c>
      <c r="C9" s="18">
        <v>306</v>
      </c>
      <c r="D9" s="18">
        <v>0</v>
      </c>
      <c r="E9" s="18">
        <v>0</v>
      </c>
      <c r="F9" s="18">
        <f t="shared" si="0"/>
        <v>306</v>
      </c>
      <c r="G9" s="18">
        <v>8</v>
      </c>
      <c r="H9" s="18">
        <v>0</v>
      </c>
      <c r="I9" s="18">
        <v>0</v>
      </c>
      <c r="J9" s="18">
        <f t="shared" si="1"/>
        <v>298</v>
      </c>
      <c r="K9" s="18">
        <f t="shared" si="1"/>
        <v>0</v>
      </c>
      <c r="L9" s="18">
        <f t="shared" si="1"/>
        <v>0</v>
      </c>
      <c r="M9" s="18">
        <f t="shared" si="2"/>
        <v>298</v>
      </c>
      <c r="N9" s="29">
        <f t="shared" si="3"/>
        <v>21757.997101575376</v>
      </c>
    </row>
    <row r="10" spans="1:15" x14ac:dyDescent="0.2">
      <c r="A10" s="18" t="s">
        <v>47</v>
      </c>
      <c r="B10" s="19">
        <v>2629</v>
      </c>
      <c r="C10" s="18">
        <v>341</v>
      </c>
      <c r="D10" s="18">
        <v>0</v>
      </c>
      <c r="E10" s="18">
        <v>0</v>
      </c>
      <c r="F10" s="18">
        <f t="shared" si="0"/>
        <v>341</v>
      </c>
      <c r="G10" s="18">
        <v>3</v>
      </c>
      <c r="H10" s="18">
        <v>0</v>
      </c>
      <c r="I10" s="18">
        <v>0</v>
      </c>
      <c r="J10" s="18">
        <f t="shared" si="1"/>
        <v>338</v>
      </c>
      <c r="K10" s="18">
        <f t="shared" si="1"/>
        <v>0</v>
      </c>
      <c r="L10" s="18">
        <f t="shared" si="1"/>
        <v>0</v>
      </c>
      <c r="M10" s="18">
        <f t="shared" si="2"/>
        <v>338</v>
      </c>
      <c r="N10" s="29">
        <f t="shared" si="3"/>
        <v>24678.53362527677</v>
      </c>
    </row>
    <row r="11" spans="1:15" x14ac:dyDescent="0.2">
      <c r="A11" s="18" t="s">
        <v>48</v>
      </c>
      <c r="B11" s="19">
        <v>2509</v>
      </c>
      <c r="C11" s="18">
        <v>196</v>
      </c>
      <c r="D11" s="18">
        <v>0</v>
      </c>
      <c r="E11" s="18">
        <v>0</v>
      </c>
      <c r="F11" s="18">
        <f t="shared" si="0"/>
        <v>196</v>
      </c>
      <c r="G11" s="18">
        <v>0</v>
      </c>
      <c r="H11" s="18">
        <v>0</v>
      </c>
      <c r="I11" s="18">
        <v>0</v>
      </c>
      <c r="J11" s="18">
        <f t="shared" si="1"/>
        <v>196</v>
      </c>
      <c r="K11" s="18">
        <f t="shared" si="1"/>
        <v>0</v>
      </c>
      <c r="L11" s="18">
        <f t="shared" si="1"/>
        <v>0</v>
      </c>
      <c r="M11" s="18">
        <f t="shared" si="2"/>
        <v>196</v>
      </c>
      <c r="N11" s="29">
        <f t="shared" si="3"/>
        <v>14310.628966136825</v>
      </c>
    </row>
    <row r="12" spans="1:15" x14ac:dyDescent="0.2">
      <c r="A12" s="18" t="s">
        <v>49</v>
      </c>
      <c r="B12" s="19">
        <v>2005</v>
      </c>
      <c r="C12" s="18">
        <v>305</v>
      </c>
      <c r="D12" s="18">
        <v>0</v>
      </c>
      <c r="E12" s="18">
        <v>0</v>
      </c>
      <c r="F12" s="18">
        <f t="shared" si="0"/>
        <v>305</v>
      </c>
      <c r="G12" s="18">
        <v>0</v>
      </c>
      <c r="H12" s="18">
        <v>0</v>
      </c>
      <c r="I12" s="18">
        <v>0</v>
      </c>
      <c r="J12" s="18">
        <f t="shared" si="1"/>
        <v>305</v>
      </c>
      <c r="K12" s="18">
        <f t="shared" si="1"/>
        <v>0</v>
      </c>
      <c r="L12" s="18">
        <f t="shared" si="1"/>
        <v>0</v>
      </c>
      <c r="M12" s="18">
        <f t="shared" si="2"/>
        <v>305</v>
      </c>
      <c r="N12" s="29">
        <f t="shared" si="3"/>
        <v>22269.090993223119</v>
      </c>
    </row>
    <row r="13" spans="1:15" x14ac:dyDescent="0.2">
      <c r="A13" s="18" t="s">
        <v>50</v>
      </c>
      <c r="B13" s="19">
        <v>2464</v>
      </c>
      <c r="C13" s="18">
        <v>171</v>
      </c>
      <c r="D13" s="18">
        <v>0</v>
      </c>
      <c r="E13" s="18">
        <v>0</v>
      </c>
      <c r="F13" s="18">
        <f t="shared" si="0"/>
        <v>171</v>
      </c>
      <c r="G13" s="18">
        <v>0</v>
      </c>
      <c r="H13" s="18">
        <v>0</v>
      </c>
      <c r="I13" s="18">
        <v>0</v>
      </c>
      <c r="J13" s="18">
        <f t="shared" si="1"/>
        <v>171</v>
      </c>
      <c r="K13" s="18">
        <f t="shared" si="1"/>
        <v>0</v>
      </c>
      <c r="L13" s="18">
        <f t="shared" si="1"/>
        <v>0</v>
      </c>
      <c r="M13" s="18">
        <f t="shared" si="2"/>
        <v>171</v>
      </c>
      <c r="N13" s="29">
        <f t="shared" si="3"/>
        <v>12485.293638823454</v>
      </c>
    </row>
    <row r="14" spans="1:15" x14ac:dyDescent="0.2">
      <c r="A14" s="18" t="s">
        <v>51</v>
      </c>
      <c r="B14" s="19">
        <v>2004</v>
      </c>
      <c r="C14" s="18">
        <v>252</v>
      </c>
      <c r="D14" s="18">
        <v>0</v>
      </c>
      <c r="E14" s="18">
        <v>0</v>
      </c>
      <c r="F14" s="18">
        <f t="shared" si="0"/>
        <v>252</v>
      </c>
      <c r="G14" s="18">
        <v>0</v>
      </c>
      <c r="H14" s="18">
        <v>0</v>
      </c>
      <c r="I14" s="18">
        <v>0</v>
      </c>
      <c r="J14" s="18">
        <f t="shared" si="1"/>
        <v>252</v>
      </c>
      <c r="K14" s="18">
        <f t="shared" si="1"/>
        <v>0</v>
      </c>
      <c r="L14" s="18">
        <f t="shared" si="1"/>
        <v>0</v>
      </c>
      <c r="M14" s="18">
        <f t="shared" si="2"/>
        <v>252</v>
      </c>
      <c r="N14" s="29">
        <f t="shared" si="3"/>
        <v>18399.380099318776</v>
      </c>
    </row>
    <row r="15" spans="1:15" x14ac:dyDescent="0.2">
      <c r="A15" s="18" t="s">
        <v>52</v>
      </c>
      <c r="B15" s="19">
        <v>2405</v>
      </c>
      <c r="C15" s="18">
        <v>190</v>
      </c>
      <c r="D15" s="18">
        <v>0</v>
      </c>
      <c r="E15" s="18">
        <v>0</v>
      </c>
      <c r="F15" s="18">
        <f t="shared" si="0"/>
        <v>190</v>
      </c>
      <c r="G15" s="18">
        <v>0</v>
      </c>
      <c r="H15" s="18">
        <v>0</v>
      </c>
      <c r="I15" s="18">
        <v>0</v>
      </c>
      <c r="J15" s="18">
        <f t="shared" si="1"/>
        <v>190</v>
      </c>
      <c r="K15" s="18">
        <f t="shared" si="1"/>
        <v>0</v>
      </c>
      <c r="L15" s="18">
        <f t="shared" si="1"/>
        <v>0</v>
      </c>
      <c r="M15" s="18">
        <f t="shared" si="2"/>
        <v>190</v>
      </c>
      <c r="N15" s="29">
        <f t="shared" si="3"/>
        <v>13872.548487581616</v>
      </c>
    </row>
    <row r="16" spans="1:15" x14ac:dyDescent="0.2">
      <c r="A16" s="18" t="s">
        <v>156</v>
      </c>
      <c r="B16" s="19">
        <v>3525</v>
      </c>
      <c r="C16" s="18">
        <v>202</v>
      </c>
      <c r="D16" s="18">
        <v>0</v>
      </c>
      <c r="E16" s="18">
        <v>0</v>
      </c>
      <c r="F16" s="18">
        <f t="shared" si="0"/>
        <v>202</v>
      </c>
      <c r="G16" s="18">
        <v>0</v>
      </c>
      <c r="H16" s="18">
        <v>0</v>
      </c>
      <c r="I16" s="18">
        <v>0</v>
      </c>
      <c r="J16" s="18">
        <f t="shared" si="1"/>
        <v>202</v>
      </c>
      <c r="K16" s="18">
        <f t="shared" si="1"/>
        <v>0</v>
      </c>
      <c r="L16" s="18">
        <f t="shared" si="1"/>
        <v>0</v>
      </c>
      <c r="M16" s="18">
        <f t="shared" si="2"/>
        <v>202</v>
      </c>
      <c r="N16" s="29">
        <f t="shared" si="3"/>
        <v>14748.709444692033</v>
      </c>
    </row>
    <row r="17" spans="1:14" x14ac:dyDescent="0.2">
      <c r="A17" s="18" t="s">
        <v>54</v>
      </c>
      <c r="B17" s="19">
        <v>5201</v>
      </c>
      <c r="C17" s="18">
        <v>377</v>
      </c>
      <c r="D17" s="18">
        <v>0</v>
      </c>
      <c r="E17" s="18">
        <v>0</v>
      </c>
      <c r="F17" s="18">
        <f t="shared" si="0"/>
        <v>377</v>
      </c>
      <c r="G17" s="18">
        <v>0</v>
      </c>
      <c r="H17" s="18">
        <v>0</v>
      </c>
      <c r="I17" s="18">
        <v>0</v>
      </c>
      <c r="J17" s="18">
        <f t="shared" si="1"/>
        <v>377</v>
      </c>
      <c r="K17" s="18">
        <f t="shared" si="1"/>
        <v>0</v>
      </c>
      <c r="L17" s="18">
        <f t="shared" si="1"/>
        <v>0</v>
      </c>
      <c r="M17" s="18">
        <f t="shared" si="2"/>
        <v>377</v>
      </c>
      <c r="N17" s="29">
        <f t="shared" si="3"/>
        <v>27526.056735885628</v>
      </c>
    </row>
    <row r="18" spans="1:14" x14ac:dyDescent="0.2">
      <c r="A18" s="18" t="s">
        <v>157</v>
      </c>
      <c r="B18" s="19">
        <v>2007</v>
      </c>
      <c r="C18" s="18">
        <v>256</v>
      </c>
      <c r="D18" s="18">
        <v>0</v>
      </c>
      <c r="E18" s="18">
        <v>0</v>
      </c>
      <c r="F18" s="18">
        <f t="shared" si="0"/>
        <v>256</v>
      </c>
      <c r="G18" s="18">
        <v>0</v>
      </c>
      <c r="H18" s="18">
        <v>0</v>
      </c>
      <c r="I18" s="18">
        <v>0</v>
      </c>
      <c r="J18" s="18">
        <f t="shared" si="1"/>
        <v>256</v>
      </c>
      <c r="K18" s="18">
        <f t="shared" si="1"/>
        <v>0</v>
      </c>
      <c r="L18" s="18">
        <f t="shared" si="1"/>
        <v>0</v>
      </c>
      <c r="M18" s="18">
        <f t="shared" si="2"/>
        <v>256</v>
      </c>
      <c r="N18" s="29">
        <f t="shared" si="3"/>
        <v>18691.433751688914</v>
      </c>
    </row>
    <row r="19" spans="1:14" x14ac:dyDescent="0.2">
      <c r="A19" s="18" t="s">
        <v>56</v>
      </c>
      <c r="B19" s="19">
        <v>2433</v>
      </c>
      <c r="C19" s="18">
        <v>173</v>
      </c>
      <c r="D19" s="18">
        <v>0</v>
      </c>
      <c r="E19" s="18">
        <v>0</v>
      </c>
      <c r="F19" s="18">
        <f t="shared" si="0"/>
        <v>173</v>
      </c>
      <c r="G19" s="18">
        <v>25</v>
      </c>
      <c r="H19" s="18">
        <v>0</v>
      </c>
      <c r="I19" s="18">
        <v>0</v>
      </c>
      <c r="J19" s="18">
        <f t="shared" si="1"/>
        <v>148</v>
      </c>
      <c r="K19" s="18">
        <f t="shared" si="1"/>
        <v>0</v>
      </c>
      <c r="L19" s="18">
        <f t="shared" si="1"/>
        <v>0</v>
      </c>
      <c r="M19" s="18">
        <f t="shared" si="2"/>
        <v>148</v>
      </c>
      <c r="N19" s="29">
        <f t="shared" si="3"/>
        <v>10805.985137695154</v>
      </c>
    </row>
    <row r="20" spans="1:14" x14ac:dyDescent="0.2">
      <c r="A20" s="18" t="s">
        <v>57</v>
      </c>
      <c r="B20" s="19">
        <v>2432</v>
      </c>
      <c r="C20" s="18">
        <v>239</v>
      </c>
      <c r="D20" s="18">
        <v>0</v>
      </c>
      <c r="E20" s="18">
        <v>0</v>
      </c>
      <c r="F20" s="18">
        <f t="shared" si="0"/>
        <v>239</v>
      </c>
      <c r="G20" s="18">
        <v>38</v>
      </c>
      <c r="H20" s="18">
        <v>0</v>
      </c>
      <c r="I20" s="18">
        <v>0</v>
      </c>
      <c r="J20" s="18">
        <f t="shared" si="1"/>
        <v>201</v>
      </c>
      <c r="K20" s="18">
        <f t="shared" si="1"/>
        <v>0</v>
      </c>
      <c r="L20" s="18">
        <f t="shared" si="1"/>
        <v>0</v>
      </c>
      <c r="M20" s="18">
        <f t="shared" si="2"/>
        <v>201</v>
      </c>
      <c r="N20" s="29">
        <f t="shared" si="3"/>
        <v>14675.696031599498</v>
      </c>
    </row>
    <row r="21" spans="1:14" x14ac:dyDescent="0.2">
      <c r="A21" s="18" t="s">
        <v>461</v>
      </c>
      <c r="B21" s="19">
        <v>2447</v>
      </c>
      <c r="C21" s="18">
        <f>171+210</f>
        <v>381</v>
      </c>
      <c r="D21" s="18">
        <v>0</v>
      </c>
      <c r="E21" s="18">
        <v>0</v>
      </c>
      <c r="F21" s="18">
        <f t="shared" si="0"/>
        <v>381</v>
      </c>
      <c r="G21" s="18">
        <v>0</v>
      </c>
      <c r="H21" s="18">
        <v>0</v>
      </c>
      <c r="I21" s="18">
        <v>0</v>
      </c>
      <c r="J21" s="18">
        <f t="shared" si="1"/>
        <v>381</v>
      </c>
      <c r="K21" s="18">
        <f t="shared" si="1"/>
        <v>0</v>
      </c>
      <c r="L21" s="18">
        <f t="shared" si="1"/>
        <v>0</v>
      </c>
      <c r="M21" s="18">
        <f t="shared" si="2"/>
        <v>381</v>
      </c>
      <c r="N21" s="29">
        <f t="shared" si="3"/>
        <v>27818.110388255765</v>
      </c>
    </row>
    <row r="22" spans="1:14" x14ac:dyDescent="0.2">
      <c r="A22" s="18" t="s">
        <v>60</v>
      </c>
      <c r="B22" s="19">
        <v>2512</v>
      </c>
      <c r="C22" s="18">
        <v>203</v>
      </c>
      <c r="D22" s="18">
        <v>0</v>
      </c>
      <c r="E22" s="18">
        <v>0</v>
      </c>
      <c r="F22" s="18">
        <f t="shared" si="0"/>
        <v>203</v>
      </c>
      <c r="G22" s="18">
        <v>0</v>
      </c>
      <c r="H22" s="18">
        <v>0</v>
      </c>
      <c r="I22" s="18">
        <v>0</v>
      </c>
      <c r="J22" s="18">
        <f t="shared" si="1"/>
        <v>203</v>
      </c>
      <c r="K22" s="18">
        <f t="shared" si="1"/>
        <v>0</v>
      </c>
      <c r="L22" s="18">
        <f t="shared" si="1"/>
        <v>0</v>
      </c>
      <c r="M22" s="18">
        <f t="shared" si="2"/>
        <v>203</v>
      </c>
      <c r="N22" s="29">
        <f t="shared" si="3"/>
        <v>14821.722857784569</v>
      </c>
    </row>
    <row r="23" spans="1:14" x14ac:dyDescent="0.2">
      <c r="A23" s="18" t="s">
        <v>61</v>
      </c>
      <c r="B23" s="19">
        <v>2456</v>
      </c>
      <c r="C23" s="18">
        <v>178</v>
      </c>
      <c r="D23" s="18">
        <v>0</v>
      </c>
      <c r="E23" s="18">
        <v>0</v>
      </c>
      <c r="F23" s="18">
        <f t="shared" si="0"/>
        <v>178</v>
      </c>
      <c r="G23" s="18">
        <v>0</v>
      </c>
      <c r="H23" s="18">
        <v>0</v>
      </c>
      <c r="I23" s="18">
        <v>0</v>
      </c>
      <c r="J23" s="18">
        <f t="shared" si="1"/>
        <v>178</v>
      </c>
      <c r="K23" s="18">
        <f t="shared" si="1"/>
        <v>0</v>
      </c>
      <c r="L23" s="18">
        <f t="shared" si="1"/>
        <v>0</v>
      </c>
      <c r="M23" s="18">
        <f t="shared" si="2"/>
        <v>178</v>
      </c>
      <c r="N23" s="29">
        <f t="shared" si="3"/>
        <v>12996.387530471198</v>
      </c>
    </row>
    <row r="24" spans="1:14" x14ac:dyDescent="0.2">
      <c r="A24" s="18" t="s">
        <v>62</v>
      </c>
      <c r="B24" s="19">
        <v>2449</v>
      </c>
      <c r="C24" s="18">
        <v>259</v>
      </c>
      <c r="D24" s="18">
        <v>0</v>
      </c>
      <c r="E24" s="18">
        <v>0</v>
      </c>
      <c r="F24" s="18">
        <f t="shared" si="0"/>
        <v>259</v>
      </c>
      <c r="G24" s="18">
        <v>0</v>
      </c>
      <c r="H24" s="18">
        <v>0</v>
      </c>
      <c r="I24" s="18">
        <v>0</v>
      </c>
      <c r="J24" s="18">
        <f t="shared" si="1"/>
        <v>259</v>
      </c>
      <c r="K24" s="18">
        <f t="shared" si="1"/>
        <v>0</v>
      </c>
      <c r="L24" s="18">
        <f t="shared" si="1"/>
        <v>0</v>
      </c>
      <c r="M24" s="18">
        <f t="shared" si="2"/>
        <v>259</v>
      </c>
      <c r="N24" s="29">
        <f t="shared" si="3"/>
        <v>18910.473990966519</v>
      </c>
    </row>
    <row r="25" spans="1:14" x14ac:dyDescent="0.2">
      <c r="A25" s="18" t="s">
        <v>63</v>
      </c>
      <c r="B25" s="19">
        <v>2448</v>
      </c>
      <c r="C25" s="18">
        <v>316</v>
      </c>
      <c r="D25" s="18">
        <v>0</v>
      </c>
      <c r="E25" s="18">
        <v>0</v>
      </c>
      <c r="F25" s="18">
        <f t="shared" si="0"/>
        <v>316</v>
      </c>
      <c r="G25" s="18">
        <v>0</v>
      </c>
      <c r="H25" s="18">
        <v>0</v>
      </c>
      <c r="I25" s="18">
        <v>0</v>
      </c>
      <c r="J25" s="18">
        <f t="shared" si="1"/>
        <v>316</v>
      </c>
      <c r="K25" s="18">
        <f t="shared" si="1"/>
        <v>0</v>
      </c>
      <c r="L25" s="18">
        <f t="shared" si="1"/>
        <v>0</v>
      </c>
      <c r="M25" s="18">
        <f t="shared" si="2"/>
        <v>316</v>
      </c>
      <c r="N25" s="29">
        <f t="shared" si="3"/>
        <v>23072.238537241003</v>
      </c>
    </row>
    <row r="26" spans="1:14" x14ac:dyDescent="0.2">
      <c r="A26" s="18" t="s">
        <v>158</v>
      </c>
      <c r="B26" s="19">
        <v>2467</v>
      </c>
      <c r="C26" s="18">
        <v>349</v>
      </c>
      <c r="D26" s="18">
        <v>0</v>
      </c>
      <c r="E26" s="18">
        <v>0</v>
      </c>
      <c r="F26" s="18">
        <f t="shared" si="0"/>
        <v>349</v>
      </c>
      <c r="G26" s="18">
        <v>0</v>
      </c>
      <c r="H26" s="18">
        <v>0</v>
      </c>
      <c r="I26" s="18">
        <v>0</v>
      </c>
      <c r="J26" s="18">
        <f t="shared" si="1"/>
        <v>349</v>
      </c>
      <c r="K26" s="18">
        <f t="shared" si="1"/>
        <v>0</v>
      </c>
      <c r="L26" s="18">
        <f t="shared" si="1"/>
        <v>0</v>
      </c>
      <c r="M26" s="18">
        <f t="shared" si="2"/>
        <v>349</v>
      </c>
      <c r="N26" s="29">
        <f t="shared" si="3"/>
        <v>25481.68116929465</v>
      </c>
    </row>
    <row r="27" spans="1:14" x14ac:dyDescent="0.2">
      <c r="A27" s="18" t="s">
        <v>65</v>
      </c>
      <c r="B27" s="19">
        <v>2455</v>
      </c>
      <c r="C27" s="18">
        <v>360</v>
      </c>
      <c r="D27" s="18">
        <v>0</v>
      </c>
      <c r="E27" s="18">
        <v>0</v>
      </c>
      <c r="F27" s="18">
        <f t="shared" si="0"/>
        <v>360</v>
      </c>
      <c r="G27" s="18">
        <v>0</v>
      </c>
      <c r="H27" s="18">
        <v>0</v>
      </c>
      <c r="I27" s="18">
        <v>0</v>
      </c>
      <c r="J27" s="18">
        <f t="shared" si="1"/>
        <v>360</v>
      </c>
      <c r="K27" s="18">
        <f t="shared" si="1"/>
        <v>0</v>
      </c>
      <c r="L27" s="18">
        <f t="shared" si="1"/>
        <v>0</v>
      </c>
      <c r="M27" s="18">
        <f t="shared" si="2"/>
        <v>360</v>
      </c>
      <c r="N27" s="29">
        <f t="shared" si="3"/>
        <v>26284.828713312534</v>
      </c>
    </row>
    <row r="28" spans="1:14" x14ac:dyDescent="0.2">
      <c r="A28" s="18" t="s">
        <v>66</v>
      </c>
      <c r="B28" s="19">
        <v>5203</v>
      </c>
      <c r="C28" s="18">
        <v>482</v>
      </c>
      <c r="D28" s="18">
        <v>0</v>
      </c>
      <c r="E28" s="18">
        <v>0</v>
      </c>
      <c r="F28" s="18">
        <f t="shared" si="0"/>
        <v>482</v>
      </c>
      <c r="G28" s="18">
        <v>0</v>
      </c>
      <c r="H28" s="18">
        <v>0</v>
      </c>
      <c r="I28" s="18">
        <v>0</v>
      </c>
      <c r="J28" s="18">
        <f t="shared" si="1"/>
        <v>482</v>
      </c>
      <c r="K28" s="18">
        <f t="shared" si="1"/>
        <v>0</v>
      </c>
      <c r="L28" s="18">
        <f t="shared" si="1"/>
        <v>0</v>
      </c>
      <c r="M28" s="18">
        <f t="shared" si="2"/>
        <v>482</v>
      </c>
      <c r="N28" s="29">
        <f t="shared" si="3"/>
        <v>35192.465110601785</v>
      </c>
    </row>
    <row r="29" spans="1:14" x14ac:dyDescent="0.2">
      <c r="A29" s="18" t="s">
        <v>67</v>
      </c>
      <c r="B29" s="19">
        <v>2451</v>
      </c>
      <c r="C29" s="18">
        <v>450</v>
      </c>
      <c r="D29" s="18">
        <v>0</v>
      </c>
      <c r="E29" s="18">
        <v>0</v>
      </c>
      <c r="F29" s="18">
        <f t="shared" si="0"/>
        <v>450</v>
      </c>
      <c r="G29" s="18">
        <v>0</v>
      </c>
      <c r="H29" s="18">
        <v>0</v>
      </c>
      <c r="I29" s="18">
        <v>0</v>
      </c>
      <c r="J29" s="18">
        <f t="shared" si="1"/>
        <v>450</v>
      </c>
      <c r="K29" s="18">
        <f t="shared" si="1"/>
        <v>0</v>
      </c>
      <c r="L29" s="18">
        <f t="shared" si="1"/>
        <v>0</v>
      </c>
      <c r="M29" s="18">
        <f t="shared" si="2"/>
        <v>450</v>
      </c>
      <c r="N29" s="29">
        <f t="shared" si="3"/>
        <v>32856.035891640669</v>
      </c>
    </row>
    <row r="30" spans="1:14" x14ac:dyDescent="0.2">
      <c r="A30" s="18" t="s">
        <v>68</v>
      </c>
      <c r="B30" s="19">
        <v>2409</v>
      </c>
      <c r="C30" s="18">
        <v>550</v>
      </c>
      <c r="D30" s="18">
        <v>0</v>
      </c>
      <c r="E30" s="18">
        <v>0</v>
      </c>
      <c r="F30" s="18">
        <f t="shared" si="0"/>
        <v>550</v>
      </c>
      <c r="G30" s="18">
        <v>0</v>
      </c>
      <c r="H30" s="18">
        <v>0</v>
      </c>
      <c r="I30" s="18">
        <v>0</v>
      </c>
      <c r="J30" s="18">
        <f t="shared" si="1"/>
        <v>550</v>
      </c>
      <c r="K30" s="18">
        <f t="shared" si="1"/>
        <v>0</v>
      </c>
      <c r="L30" s="18">
        <f t="shared" si="1"/>
        <v>0</v>
      </c>
      <c r="M30" s="18">
        <f t="shared" si="2"/>
        <v>550</v>
      </c>
      <c r="N30" s="29">
        <f t="shared" si="3"/>
        <v>40157.377200894152</v>
      </c>
    </row>
    <row r="31" spans="1:14" x14ac:dyDescent="0.2">
      <c r="A31" s="18" t="s">
        <v>159</v>
      </c>
      <c r="B31" s="19">
        <v>3158</v>
      </c>
      <c r="C31" s="18">
        <v>120</v>
      </c>
      <c r="D31" s="18">
        <v>0</v>
      </c>
      <c r="E31" s="18">
        <v>0</v>
      </c>
      <c r="F31" s="18">
        <f t="shared" si="0"/>
        <v>120</v>
      </c>
      <c r="G31" s="18">
        <v>0</v>
      </c>
      <c r="H31" s="18">
        <v>0</v>
      </c>
      <c r="I31" s="18">
        <v>0</v>
      </c>
      <c r="J31" s="18">
        <f t="shared" si="1"/>
        <v>120</v>
      </c>
      <c r="K31" s="18">
        <f t="shared" si="1"/>
        <v>0</v>
      </c>
      <c r="L31" s="18">
        <f t="shared" si="1"/>
        <v>0</v>
      </c>
      <c r="M31" s="18">
        <f t="shared" si="2"/>
        <v>120</v>
      </c>
      <c r="N31" s="29">
        <f t="shared" si="3"/>
        <v>8761.609571104178</v>
      </c>
    </row>
    <row r="32" spans="1:14" x14ac:dyDescent="0.2">
      <c r="A32" s="18" t="s">
        <v>69</v>
      </c>
      <c r="B32" s="19">
        <v>2619</v>
      </c>
      <c r="C32" s="18">
        <v>183</v>
      </c>
      <c r="D32" s="18">
        <v>0</v>
      </c>
      <c r="E32" s="18">
        <v>0</v>
      </c>
      <c r="F32" s="18">
        <f t="shared" si="0"/>
        <v>183</v>
      </c>
      <c r="G32" s="18">
        <v>0</v>
      </c>
      <c r="H32" s="18">
        <v>0</v>
      </c>
      <c r="I32" s="18">
        <v>0</v>
      </c>
      <c r="J32" s="18">
        <f t="shared" si="1"/>
        <v>183</v>
      </c>
      <c r="K32" s="18">
        <f t="shared" si="1"/>
        <v>0</v>
      </c>
      <c r="L32" s="18">
        <f t="shared" si="1"/>
        <v>0</v>
      </c>
      <c r="M32" s="18">
        <f t="shared" si="2"/>
        <v>183</v>
      </c>
      <c r="N32" s="29">
        <f t="shared" si="3"/>
        <v>13361.454595933872</v>
      </c>
    </row>
    <row r="33" spans="1:14" x14ac:dyDescent="0.2">
      <c r="A33" s="18" t="s">
        <v>70</v>
      </c>
      <c r="B33" s="19">
        <v>2518</v>
      </c>
      <c r="C33" s="18">
        <v>281</v>
      </c>
      <c r="D33" s="18">
        <v>0</v>
      </c>
      <c r="E33" s="18">
        <v>0</v>
      </c>
      <c r="F33" s="18">
        <f t="shared" si="0"/>
        <v>281</v>
      </c>
      <c r="G33" s="18">
        <v>0</v>
      </c>
      <c r="H33" s="18">
        <v>0</v>
      </c>
      <c r="I33" s="18">
        <v>0</v>
      </c>
      <c r="J33" s="18">
        <f t="shared" si="1"/>
        <v>281</v>
      </c>
      <c r="K33" s="18">
        <f t="shared" si="1"/>
        <v>0</v>
      </c>
      <c r="L33" s="18">
        <f t="shared" si="1"/>
        <v>0</v>
      </c>
      <c r="M33" s="18">
        <f t="shared" si="2"/>
        <v>281</v>
      </c>
      <c r="N33" s="29">
        <f t="shared" si="3"/>
        <v>20516.769079002283</v>
      </c>
    </row>
    <row r="34" spans="1:14" x14ac:dyDescent="0.2">
      <c r="A34" s="18" t="s">
        <v>71</v>
      </c>
      <c r="B34" s="19">
        <v>2457</v>
      </c>
      <c r="C34" s="18">
        <v>352</v>
      </c>
      <c r="D34" s="18">
        <v>0</v>
      </c>
      <c r="E34" s="18">
        <v>0</v>
      </c>
      <c r="F34" s="18">
        <f t="shared" si="0"/>
        <v>352</v>
      </c>
      <c r="G34" s="18">
        <v>0</v>
      </c>
      <c r="H34" s="18">
        <v>0</v>
      </c>
      <c r="I34" s="18">
        <v>0</v>
      </c>
      <c r="J34" s="18">
        <f t="shared" si="1"/>
        <v>352</v>
      </c>
      <c r="K34" s="18">
        <f t="shared" si="1"/>
        <v>0</v>
      </c>
      <c r="L34" s="18">
        <f t="shared" si="1"/>
        <v>0</v>
      </c>
      <c r="M34" s="18">
        <f t="shared" si="2"/>
        <v>352</v>
      </c>
      <c r="N34" s="29">
        <f t="shared" si="3"/>
        <v>25700.721408572255</v>
      </c>
    </row>
    <row r="35" spans="1:14" x14ac:dyDescent="0.2">
      <c r="A35" s="18" t="s">
        <v>160</v>
      </c>
      <c r="B35" s="220">
        <v>2010</v>
      </c>
      <c r="C35" s="18">
        <v>176</v>
      </c>
      <c r="D35" s="18">
        <v>0</v>
      </c>
      <c r="E35" s="18">
        <v>0</v>
      </c>
      <c r="F35" s="18">
        <f t="shared" si="0"/>
        <v>176</v>
      </c>
      <c r="G35" s="18">
        <v>0</v>
      </c>
      <c r="H35" s="18">
        <v>0</v>
      </c>
      <c r="I35" s="18">
        <v>0</v>
      </c>
      <c r="J35" s="18">
        <f t="shared" si="1"/>
        <v>176</v>
      </c>
      <c r="K35" s="18">
        <f t="shared" si="1"/>
        <v>0</v>
      </c>
      <c r="L35" s="18">
        <f t="shared" si="1"/>
        <v>0</v>
      </c>
      <c r="M35" s="18">
        <f t="shared" si="2"/>
        <v>176</v>
      </c>
      <c r="N35" s="29">
        <f t="shared" si="3"/>
        <v>12850.360704286128</v>
      </c>
    </row>
    <row r="36" spans="1:14" x14ac:dyDescent="0.2">
      <c r="A36" s="18" t="s">
        <v>73</v>
      </c>
      <c r="B36" s="19">
        <v>2002</v>
      </c>
      <c r="C36" s="18">
        <v>424</v>
      </c>
      <c r="D36" s="18">
        <v>0</v>
      </c>
      <c r="E36" s="18">
        <v>0</v>
      </c>
      <c r="F36" s="18">
        <f t="shared" si="0"/>
        <v>424</v>
      </c>
      <c r="G36" s="18">
        <v>0</v>
      </c>
      <c r="H36" s="18">
        <v>0</v>
      </c>
      <c r="I36" s="18">
        <v>0</v>
      </c>
      <c r="J36" s="18">
        <f t="shared" si="1"/>
        <v>424</v>
      </c>
      <c r="K36" s="18">
        <f t="shared" si="1"/>
        <v>0</v>
      </c>
      <c r="L36" s="18">
        <f t="shared" si="1"/>
        <v>0</v>
      </c>
      <c r="M36" s="18">
        <f t="shared" si="2"/>
        <v>424</v>
      </c>
      <c r="N36" s="29">
        <f t="shared" si="3"/>
        <v>30957.687151234764</v>
      </c>
    </row>
    <row r="37" spans="1:14" x14ac:dyDescent="0.2">
      <c r="A37" s="18" t="s">
        <v>74</v>
      </c>
      <c r="B37" s="19">
        <v>3544</v>
      </c>
      <c r="C37" s="18">
        <v>536</v>
      </c>
      <c r="D37" s="18">
        <v>0</v>
      </c>
      <c r="E37" s="18">
        <v>0</v>
      </c>
      <c r="F37" s="18">
        <f t="shared" si="0"/>
        <v>536</v>
      </c>
      <c r="G37" s="18">
        <v>0</v>
      </c>
      <c r="H37" s="18">
        <v>0</v>
      </c>
      <c r="I37" s="18">
        <v>0</v>
      </c>
      <c r="J37" s="18">
        <f t="shared" si="1"/>
        <v>536</v>
      </c>
      <c r="K37" s="18">
        <f t="shared" si="1"/>
        <v>0</v>
      </c>
      <c r="L37" s="18">
        <f t="shared" si="1"/>
        <v>0</v>
      </c>
      <c r="M37" s="18">
        <f t="shared" si="2"/>
        <v>536</v>
      </c>
      <c r="N37" s="29">
        <f t="shared" si="3"/>
        <v>39135.18941759866</v>
      </c>
    </row>
    <row r="38" spans="1:14" x14ac:dyDescent="0.2">
      <c r="A38" s="18" t="s">
        <v>161</v>
      </c>
      <c r="B38" s="19">
        <v>2006</v>
      </c>
      <c r="C38" s="18">
        <v>231</v>
      </c>
      <c r="D38" s="18">
        <v>0</v>
      </c>
      <c r="E38" s="18">
        <v>0</v>
      </c>
      <c r="F38" s="18">
        <f t="shared" si="0"/>
        <v>231</v>
      </c>
      <c r="G38" s="18">
        <v>0</v>
      </c>
      <c r="H38" s="18">
        <v>0</v>
      </c>
      <c r="I38" s="18">
        <v>0</v>
      </c>
      <c r="J38" s="18">
        <f t="shared" si="1"/>
        <v>231</v>
      </c>
      <c r="K38" s="18">
        <f t="shared" si="1"/>
        <v>0</v>
      </c>
      <c r="L38" s="18">
        <f t="shared" si="1"/>
        <v>0</v>
      </c>
      <c r="M38" s="18">
        <f t="shared" si="2"/>
        <v>231</v>
      </c>
      <c r="N38" s="29">
        <f t="shared" si="3"/>
        <v>16866.098424375545</v>
      </c>
    </row>
    <row r="39" spans="1:14" x14ac:dyDescent="0.2">
      <c r="A39" s="18" t="s">
        <v>76</v>
      </c>
      <c r="B39" s="19">
        <v>2434</v>
      </c>
      <c r="C39" s="18">
        <v>366</v>
      </c>
      <c r="D39" s="18">
        <v>0</v>
      </c>
      <c r="E39" s="18">
        <v>0</v>
      </c>
      <c r="F39" s="18">
        <f t="shared" si="0"/>
        <v>366</v>
      </c>
      <c r="G39" s="18">
        <v>8</v>
      </c>
      <c r="H39" s="18">
        <v>0</v>
      </c>
      <c r="I39" s="18">
        <v>0</v>
      </c>
      <c r="J39" s="18">
        <f t="shared" si="1"/>
        <v>358</v>
      </c>
      <c r="K39" s="18">
        <f t="shared" si="1"/>
        <v>0</v>
      </c>
      <c r="L39" s="18">
        <f t="shared" si="1"/>
        <v>0</v>
      </c>
      <c r="M39" s="18">
        <f t="shared" si="2"/>
        <v>358</v>
      </c>
      <c r="N39" s="29">
        <f t="shared" si="3"/>
        <v>26138.801887127465</v>
      </c>
    </row>
    <row r="40" spans="1:14" x14ac:dyDescent="0.2">
      <c r="A40" s="18" t="s">
        <v>77</v>
      </c>
      <c r="B40" s="19">
        <v>2522</v>
      </c>
      <c r="C40" s="18">
        <v>407</v>
      </c>
      <c r="D40" s="18">
        <v>0</v>
      </c>
      <c r="E40" s="18">
        <v>0</v>
      </c>
      <c r="F40" s="18">
        <f t="shared" si="0"/>
        <v>407</v>
      </c>
      <c r="G40" s="18">
        <v>0</v>
      </c>
      <c r="H40" s="18">
        <v>0</v>
      </c>
      <c r="I40" s="18">
        <v>0</v>
      </c>
      <c r="J40" s="18">
        <f t="shared" si="1"/>
        <v>407</v>
      </c>
      <c r="K40" s="18">
        <f t="shared" si="1"/>
        <v>0</v>
      </c>
      <c r="L40" s="18">
        <f t="shared" si="1"/>
        <v>0</v>
      </c>
      <c r="M40" s="18">
        <f t="shared" si="2"/>
        <v>407</v>
      </c>
      <c r="N40" s="29">
        <f t="shared" si="3"/>
        <v>29716.459128661671</v>
      </c>
    </row>
    <row r="41" spans="1:14" x14ac:dyDescent="0.2">
      <c r="A41" s="18" t="s">
        <v>78</v>
      </c>
      <c r="B41" s="19">
        <v>2436</v>
      </c>
      <c r="C41" s="18">
        <v>310</v>
      </c>
      <c r="D41" s="18">
        <v>0</v>
      </c>
      <c r="E41" s="18">
        <v>0</v>
      </c>
      <c r="F41" s="18">
        <f t="shared" si="0"/>
        <v>310</v>
      </c>
      <c r="G41" s="18">
        <v>5</v>
      </c>
      <c r="H41" s="18">
        <v>0</v>
      </c>
      <c r="I41" s="18">
        <v>0</v>
      </c>
      <c r="J41" s="18">
        <f t="shared" si="1"/>
        <v>305</v>
      </c>
      <c r="K41" s="18">
        <f t="shared" si="1"/>
        <v>0</v>
      </c>
      <c r="L41" s="18">
        <f t="shared" si="1"/>
        <v>0</v>
      </c>
      <c r="M41" s="18">
        <f t="shared" si="2"/>
        <v>305</v>
      </c>
      <c r="N41" s="29">
        <f t="shared" si="3"/>
        <v>22269.090993223119</v>
      </c>
    </row>
    <row r="42" spans="1:14" x14ac:dyDescent="0.2">
      <c r="A42" s="18" t="s">
        <v>79</v>
      </c>
      <c r="B42" s="19">
        <v>2452</v>
      </c>
      <c r="C42" s="18">
        <v>202</v>
      </c>
      <c r="D42" s="18">
        <v>0</v>
      </c>
      <c r="E42" s="18">
        <v>0</v>
      </c>
      <c r="F42" s="18">
        <f t="shared" si="0"/>
        <v>202</v>
      </c>
      <c r="G42" s="18">
        <v>0</v>
      </c>
      <c r="H42" s="18">
        <v>0</v>
      </c>
      <c r="I42" s="18">
        <v>0</v>
      </c>
      <c r="J42" s="18">
        <f t="shared" si="1"/>
        <v>202</v>
      </c>
      <c r="K42" s="18">
        <f t="shared" si="1"/>
        <v>0</v>
      </c>
      <c r="L42" s="18">
        <f t="shared" si="1"/>
        <v>0</v>
      </c>
      <c r="M42" s="18">
        <f t="shared" si="2"/>
        <v>202</v>
      </c>
      <c r="N42" s="29">
        <f t="shared" si="3"/>
        <v>14748.709444692033</v>
      </c>
    </row>
    <row r="43" spans="1:14" x14ac:dyDescent="0.2">
      <c r="A43" s="18" t="s">
        <v>80</v>
      </c>
      <c r="B43" s="19">
        <v>2627</v>
      </c>
      <c r="C43" s="18">
        <v>385</v>
      </c>
      <c r="D43" s="18">
        <v>0</v>
      </c>
      <c r="E43" s="18">
        <v>0</v>
      </c>
      <c r="F43" s="18">
        <f t="shared" si="0"/>
        <v>385</v>
      </c>
      <c r="G43" s="18">
        <v>0</v>
      </c>
      <c r="H43" s="18">
        <v>0</v>
      </c>
      <c r="I43" s="18">
        <v>0</v>
      </c>
      <c r="J43" s="18">
        <f t="shared" si="1"/>
        <v>385</v>
      </c>
      <c r="K43" s="18">
        <f t="shared" si="1"/>
        <v>0</v>
      </c>
      <c r="L43" s="18">
        <f t="shared" si="1"/>
        <v>0</v>
      </c>
      <c r="M43" s="18">
        <f t="shared" si="2"/>
        <v>385</v>
      </c>
      <c r="N43" s="29">
        <f t="shared" si="3"/>
        <v>28110.164040625907</v>
      </c>
    </row>
    <row r="44" spans="1:14" x14ac:dyDescent="0.2">
      <c r="A44" s="18" t="s">
        <v>81</v>
      </c>
      <c r="B44" s="19">
        <v>2009</v>
      </c>
      <c r="C44" s="18">
        <v>280</v>
      </c>
      <c r="D44" s="18">
        <v>0</v>
      </c>
      <c r="E44" s="18">
        <v>0</v>
      </c>
      <c r="F44" s="18">
        <f t="shared" si="0"/>
        <v>280</v>
      </c>
      <c r="G44" s="18">
        <v>0</v>
      </c>
      <c r="H44" s="18">
        <v>0</v>
      </c>
      <c r="I44" s="18">
        <v>0</v>
      </c>
      <c r="J44" s="18">
        <f t="shared" si="1"/>
        <v>280</v>
      </c>
      <c r="K44" s="18">
        <f t="shared" si="1"/>
        <v>0</v>
      </c>
      <c r="L44" s="18">
        <f t="shared" si="1"/>
        <v>0</v>
      </c>
      <c r="M44" s="18">
        <f t="shared" si="2"/>
        <v>280</v>
      </c>
      <c r="N44" s="29">
        <f t="shared" si="3"/>
        <v>20443.75566590975</v>
      </c>
    </row>
    <row r="45" spans="1:14" x14ac:dyDescent="0.2">
      <c r="A45" s="18" t="s">
        <v>162</v>
      </c>
      <c r="B45" s="19">
        <v>2473</v>
      </c>
      <c r="C45" s="18">
        <v>270</v>
      </c>
      <c r="D45" s="18">
        <v>0</v>
      </c>
      <c r="E45" s="18">
        <v>0</v>
      </c>
      <c r="F45" s="18">
        <f t="shared" si="0"/>
        <v>270</v>
      </c>
      <c r="G45" s="18">
        <v>0</v>
      </c>
      <c r="H45" s="18">
        <v>0</v>
      </c>
      <c r="I45" s="18">
        <v>0</v>
      </c>
      <c r="J45" s="18">
        <f t="shared" si="1"/>
        <v>270</v>
      </c>
      <c r="K45" s="18">
        <f t="shared" si="1"/>
        <v>0</v>
      </c>
      <c r="L45" s="18">
        <f t="shared" si="1"/>
        <v>0</v>
      </c>
      <c r="M45" s="18">
        <f t="shared" si="2"/>
        <v>270</v>
      </c>
      <c r="N45" s="29">
        <f t="shared" si="3"/>
        <v>19713.621534984402</v>
      </c>
    </row>
    <row r="46" spans="1:14" x14ac:dyDescent="0.2">
      <c r="A46" s="18" t="s">
        <v>84</v>
      </c>
      <c r="B46" s="19">
        <v>2471</v>
      </c>
      <c r="C46" s="18">
        <v>346</v>
      </c>
      <c r="D46" s="18">
        <v>0</v>
      </c>
      <c r="E46" s="18">
        <v>0</v>
      </c>
      <c r="F46" s="18">
        <f t="shared" si="0"/>
        <v>346</v>
      </c>
      <c r="G46" s="18">
        <v>0</v>
      </c>
      <c r="H46" s="18">
        <v>0</v>
      </c>
      <c r="I46" s="18">
        <v>0</v>
      </c>
      <c r="J46" s="18">
        <f t="shared" si="1"/>
        <v>346</v>
      </c>
      <c r="K46" s="18">
        <f t="shared" si="1"/>
        <v>0</v>
      </c>
      <c r="L46" s="18">
        <f t="shared" si="1"/>
        <v>0</v>
      </c>
      <c r="M46" s="18">
        <f t="shared" si="2"/>
        <v>346</v>
      </c>
      <c r="N46" s="29">
        <f t="shared" si="3"/>
        <v>25262.640930017049</v>
      </c>
    </row>
    <row r="47" spans="1:14" x14ac:dyDescent="0.2">
      <c r="A47" s="18" t="s">
        <v>82</v>
      </c>
      <c r="B47" s="19">
        <v>2420</v>
      </c>
      <c r="C47" s="18">
        <v>455</v>
      </c>
      <c r="D47" s="18">
        <v>0</v>
      </c>
      <c r="E47" s="18">
        <v>0</v>
      </c>
      <c r="F47" s="18">
        <f t="shared" si="0"/>
        <v>455</v>
      </c>
      <c r="G47" s="18">
        <v>0</v>
      </c>
      <c r="H47" s="18">
        <v>0</v>
      </c>
      <c r="I47" s="18">
        <v>0</v>
      </c>
      <c r="J47" s="18">
        <f t="shared" si="1"/>
        <v>455</v>
      </c>
      <c r="K47" s="18">
        <f t="shared" si="1"/>
        <v>0</v>
      </c>
      <c r="L47" s="18">
        <f t="shared" si="1"/>
        <v>0</v>
      </c>
      <c r="M47" s="18">
        <f t="shared" si="2"/>
        <v>455</v>
      </c>
      <c r="N47" s="29">
        <f t="shared" si="3"/>
        <v>33221.102957103343</v>
      </c>
    </row>
    <row r="48" spans="1:14" x14ac:dyDescent="0.2">
      <c r="A48" s="18" t="s">
        <v>85</v>
      </c>
      <c r="B48" s="19">
        <v>2003</v>
      </c>
      <c r="C48" s="18">
        <v>213</v>
      </c>
      <c r="D48" s="18">
        <v>0</v>
      </c>
      <c r="E48" s="18">
        <v>0</v>
      </c>
      <c r="F48" s="18">
        <f t="shared" si="0"/>
        <v>213</v>
      </c>
      <c r="G48" s="18">
        <v>0</v>
      </c>
      <c r="H48" s="18">
        <v>0</v>
      </c>
      <c r="I48" s="18">
        <v>0</v>
      </c>
      <c r="J48" s="18">
        <f t="shared" si="1"/>
        <v>213</v>
      </c>
      <c r="K48" s="18">
        <f t="shared" si="1"/>
        <v>0</v>
      </c>
      <c r="L48" s="18">
        <f t="shared" si="1"/>
        <v>0</v>
      </c>
      <c r="M48" s="18">
        <f t="shared" si="2"/>
        <v>213</v>
      </c>
      <c r="N48" s="29">
        <f t="shared" si="3"/>
        <v>15551.856988709917</v>
      </c>
    </row>
    <row r="49" spans="1:14" x14ac:dyDescent="0.2">
      <c r="A49" s="18" t="s">
        <v>86</v>
      </c>
      <c r="B49" s="19">
        <v>2423</v>
      </c>
      <c r="C49" s="18">
        <v>359</v>
      </c>
      <c r="D49" s="18">
        <v>0</v>
      </c>
      <c r="E49" s="18">
        <v>0</v>
      </c>
      <c r="F49" s="18">
        <f t="shared" si="0"/>
        <v>359</v>
      </c>
      <c r="G49" s="18">
        <v>0</v>
      </c>
      <c r="H49" s="18">
        <v>0</v>
      </c>
      <c r="I49" s="18">
        <v>0</v>
      </c>
      <c r="J49" s="18">
        <f t="shared" si="1"/>
        <v>359</v>
      </c>
      <c r="K49" s="18">
        <f t="shared" si="1"/>
        <v>0</v>
      </c>
      <c r="L49" s="18">
        <f t="shared" si="1"/>
        <v>0</v>
      </c>
      <c r="M49" s="18">
        <f t="shared" si="2"/>
        <v>359</v>
      </c>
      <c r="N49" s="29">
        <f t="shared" si="3"/>
        <v>26211.815300220002</v>
      </c>
    </row>
    <row r="50" spans="1:14" x14ac:dyDescent="0.2">
      <c r="A50" s="18" t="s">
        <v>87</v>
      </c>
      <c r="B50" s="19">
        <v>2424</v>
      </c>
      <c r="C50" s="18">
        <v>268</v>
      </c>
      <c r="D50" s="18">
        <v>0</v>
      </c>
      <c r="E50" s="18">
        <v>0</v>
      </c>
      <c r="F50" s="18">
        <f t="shared" si="0"/>
        <v>268</v>
      </c>
      <c r="G50" s="18">
        <v>0</v>
      </c>
      <c r="H50" s="18">
        <v>0</v>
      </c>
      <c r="I50" s="18">
        <v>0</v>
      </c>
      <c r="J50" s="18">
        <f t="shared" si="1"/>
        <v>268</v>
      </c>
      <c r="K50" s="18">
        <f t="shared" si="1"/>
        <v>0</v>
      </c>
      <c r="L50" s="18">
        <f t="shared" si="1"/>
        <v>0</v>
      </c>
      <c r="M50" s="18">
        <f t="shared" si="2"/>
        <v>268</v>
      </c>
      <c r="N50" s="29">
        <f t="shared" si="3"/>
        <v>19567.59470879933</v>
      </c>
    </row>
    <row r="51" spans="1:14" x14ac:dyDescent="0.2">
      <c r="A51" s="18" t="s">
        <v>88</v>
      </c>
      <c r="B51" s="19">
        <v>2439</v>
      </c>
      <c r="C51" s="18">
        <v>238</v>
      </c>
      <c r="D51" s="18">
        <v>0</v>
      </c>
      <c r="E51" s="18">
        <v>0</v>
      </c>
      <c r="F51" s="18">
        <f t="shared" si="0"/>
        <v>238</v>
      </c>
      <c r="G51" s="18">
        <v>0</v>
      </c>
      <c r="H51" s="18">
        <v>0</v>
      </c>
      <c r="I51" s="18">
        <v>0</v>
      </c>
      <c r="J51" s="18">
        <f t="shared" si="1"/>
        <v>238</v>
      </c>
      <c r="K51" s="18">
        <f t="shared" si="1"/>
        <v>0</v>
      </c>
      <c r="L51" s="18">
        <f t="shared" si="1"/>
        <v>0</v>
      </c>
      <c r="M51" s="18">
        <f t="shared" si="2"/>
        <v>238</v>
      </c>
      <c r="N51" s="29">
        <f t="shared" si="3"/>
        <v>17377.192316023287</v>
      </c>
    </row>
    <row r="52" spans="1:14" x14ac:dyDescent="0.2">
      <c r="A52" s="18" t="s">
        <v>89</v>
      </c>
      <c r="B52" s="19">
        <v>2440</v>
      </c>
      <c r="C52" s="18">
        <v>292</v>
      </c>
      <c r="D52" s="18">
        <v>0</v>
      </c>
      <c r="E52" s="18">
        <v>0</v>
      </c>
      <c r="F52" s="18">
        <f t="shared" si="0"/>
        <v>292</v>
      </c>
      <c r="G52" s="18">
        <v>0</v>
      </c>
      <c r="H52" s="18">
        <v>0</v>
      </c>
      <c r="I52" s="18">
        <v>0</v>
      </c>
      <c r="J52" s="18">
        <f t="shared" si="1"/>
        <v>292</v>
      </c>
      <c r="K52" s="18">
        <f t="shared" si="1"/>
        <v>0</v>
      </c>
      <c r="L52" s="18">
        <f t="shared" si="1"/>
        <v>0</v>
      </c>
      <c r="M52" s="18">
        <f t="shared" si="2"/>
        <v>292</v>
      </c>
      <c r="N52" s="29">
        <f t="shared" si="3"/>
        <v>21319.916623020166</v>
      </c>
    </row>
    <row r="53" spans="1:14" x14ac:dyDescent="0.2">
      <c r="A53" s="18" t="s">
        <v>163</v>
      </c>
      <c r="B53" s="19">
        <v>2462</v>
      </c>
      <c r="C53" s="18">
        <v>233</v>
      </c>
      <c r="D53" s="18">
        <v>0</v>
      </c>
      <c r="E53" s="18">
        <v>0</v>
      </c>
      <c r="F53" s="18">
        <f t="shared" si="0"/>
        <v>233</v>
      </c>
      <c r="G53" s="18">
        <v>0</v>
      </c>
      <c r="H53" s="18">
        <v>0</v>
      </c>
      <c r="I53" s="18">
        <v>0</v>
      </c>
      <c r="J53" s="18">
        <f t="shared" si="1"/>
        <v>233</v>
      </c>
      <c r="K53" s="18">
        <f t="shared" si="1"/>
        <v>0</v>
      </c>
      <c r="L53" s="18">
        <f t="shared" si="1"/>
        <v>0</v>
      </c>
      <c r="M53" s="18">
        <f t="shared" si="2"/>
        <v>233</v>
      </c>
      <c r="N53" s="29">
        <f t="shared" si="3"/>
        <v>17012.125250560613</v>
      </c>
    </row>
    <row r="54" spans="1:14" x14ac:dyDescent="0.2">
      <c r="A54" s="18" t="s">
        <v>91</v>
      </c>
      <c r="B54" s="19">
        <v>2463</v>
      </c>
      <c r="C54" s="18">
        <v>307</v>
      </c>
      <c r="D54" s="18">
        <v>0</v>
      </c>
      <c r="E54" s="18">
        <v>0</v>
      </c>
      <c r="F54" s="18">
        <f t="shared" si="0"/>
        <v>307</v>
      </c>
      <c r="G54" s="18">
        <v>0</v>
      </c>
      <c r="H54" s="18">
        <v>0</v>
      </c>
      <c r="I54" s="18">
        <v>0</v>
      </c>
      <c r="J54" s="18">
        <f t="shared" si="1"/>
        <v>307</v>
      </c>
      <c r="K54" s="18">
        <f t="shared" si="1"/>
        <v>0</v>
      </c>
      <c r="L54" s="18">
        <f t="shared" si="1"/>
        <v>0</v>
      </c>
      <c r="M54" s="18">
        <f t="shared" si="2"/>
        <v>307</v>
      </c>
      <c r="N54" s="29">
        <f t="shared" si="3"/>
        <v>22415.117819408188</v>
      </c>
    </row>
    <row r="55" spans="1:14" x14ac:dyDescent="0.2">
      <c r="A55" s="18" t="s">
        <v>92</v>
      </c>
      <c r="B55" s="19">
        <v>2505</v>
      </c>
      <c r="C55" s="18">
        <v>436</v>
      </c>
      <c r="D55" s="18">
        <v>0</v>
      </c>
      <c r="E55" s="18">
        <v>0</v>
      </c>
      <c r="F55" s="18">
        <f t="shared" si="0"/>
        <v>436</v>
      </c>
      <c r="G55" s="18">
        <v>0</v>
      </c>
      <c r="H55" s="18">
        <v>0</v>
      </c>
      <c r="I55" s="18">
        <v>0</v>
      </c>
      <c r="J55" s="18">
        <f t="shared" si="1"/>
        <v>436</v>
      </c>
      <c r="K55" s="18">
        <f t="shared" si="1"/>
        <v>0</v>
      </c>
      <c r="L55" s="18">
        <f t="shared" si="1"/>
        <v>0</v>
      </c>
      <c r="M55" s="18">
        <f t="shared" si="2"/>
        <v>436</v>
      </c>
      <c r="N55" s="29">
        <f t="shared" si="3"/>
        <v>31833.848108345181</v>
      </c>
    </row>
    <row r="56" spans="1:14" x14ac:dyDescent="0.2">
      <c r="A56" s="18" t="s">
        <v>93</v>
      </c>
      <c r="B56" s="19">
        <v>2000</v>
      </c>
      <c r="C56" s="18">
        <v>299</v>
      </c>
      <c r="D56" s="18">
        <v>0</v>
      </c>
      <c r="E56" s="18">
        <v>0</v>
      </c>
      <c r="F56" s="18">
        <f t="shared" si="0"/>
        <v>299</v>
      </c>
      <c r="G56" s="18">
        <v>20</v>
      </c>
      <c r="H56" s="18">
        <v>0</v>
      </c>
      <c r="I56" s="18">
        <v>0</v>
      </c>
      <c r="J56" s="18">
        <f t="shared" si="1"/>
        <v>279</v>
      </c>
      <c r="K56" s="18">
        <f t="shared" si="1"/>
        <v>0</v>
      </c>
      <c r="L56" s="18">
        <f t="shared" si="1"/>
        <v>0</v>
      </c>
      <c r="M56" s="18">
        <f t="shared" si="2"/>
        <v>279</v>
      </c>
      <c r="N56" s="29">
        <f t="shared" si="3"/>
        <v>20370.742252817214</v>
      </c>
    </row>
    <row r="57" spans="1:14" x14ac:dyDescent="0.2">
      <c r="A57" s="18" t="s">
        <v>94</v>
      </c>
      <c r="B57" s="19">
        <v>2458</v>
      </c>
      <c r="C57" s="18">
        <v>269</v>
      </c>
      <c r="D57" s="18">
        <v>0</v>
      </c>
      <c r="E57" s="18">
        <v>0</v>
      </c>
      <c r="F57" s="18">
        <f t="shared" si="0"/>
        <v>269</v>
      </c>
      <c r="G57" s="18">
        <v>0</v>
      </c>
      <c r="H57" s="18">
        <v>0</v>
      </c>
      <c r="I57" s="18">
        <v>0</v>
      </c>
      <c r="J57" s="18">
        <f t="shared" si="1"/>
        <v>269</v>
      </c>
      <c r="K57" s="18">
        <f t="shared" si="1"/>
        <v>0</v>
      </c>
      <c r="L57" s="18">
        <f t="shared" si="1"/>
        <v>0</v>
      </c>
      <c r="M57" s="18">
        <f t="shared" si="2"/>
        <v>269</v>
      </c>
      <c r="N57" s="29">
        <f t="shared" si="3"/>
        <v>19640.608121891866</v>
      </c>
    </row>
    <row r="58" spans="1:14" x14ac:dyDescent="0.2">
      <c r="A58" s="18" t="s">
        <v>95</v>
      </c>
      <c r="B58" s="19">
        <v>2001</v>
      </c>
      <c r="C58" s="18">
        <v>311</v>
      </c>
      <c r="D58" s="18">
        <v>0</v>
      </c>
      <c r="E58" s="18">
        <v>0</v>
      </c>
      <c r="F58" s="18">
        <f t="shared" si="0"/>
        <v>311</v>
      </c>
      <c r="G58" s="18">
        <v>0</v>
      </c>
      <c r="H58" s="18">
        <v>0</v>
      </c>
      <c r="I58" s="18">
        <v>0</v>
      </c>
      <c r="J58" s="18">
        <f t="shared" si="1"/>
        <v>311</v>
      </c>
      <c r="K58" s="18">
        <f t="shared" si="1"/>
        <v>0</v>
      </c>
      <c r="L58" s="18">
        <f t="shared" si="1"/>
        <v>0</v>
      </c>
      <c r="M58" s="18">
        <f t="shared" si="2"/>
        <v>311</v>
      </c>
      <c r="N58" s="29">
        <f t="shared" si="3"/>
        <v>22707.171471778329</v>
      </c>
    </row>
    <row r="59" spans="1:14" x14ac:dyDescent="0.2">
      <c r="A59" s="18" t="s">
        <v>96</v>
      </c>
      <c r="B59" s="19">
        <v>2429</v>
      </c>
      <c r="C59" s="18">
        <v>151</v>
      </c>
      <c r="D59" s="18">
        <v>0</v>
      </c>
      <c r="E59" s="18">
        <v>0</v>
      </c>
      <c r="F59" s="18">
        <f t="shared" si="0"/>
        <v>151</v>
      </c>
      <c r="G59" s="18">
        <v>0</v>
      </c>
      <c r="H59" s="18">
        <v>0</v>
      </c>
      <c r="I59" s="18">
        <v>0</v>
      </c>
      <c r="J59" s="18">
        <f t="shared" si="1"/>
        <v>151</v>
      </c>
      <c r="K59" s="18">
        <f t="shared" si="1"/>
        <v>0</v>
      </c>
      <c r="L59" s="18">
        <f t="shared" si="1"/>
        <v>0</v>
      </c>
      <c r="M59" s="18">
        <f t="shared" si="2"/>
        <v>151</v>
      </c>
      <c r="N59" s="29">
        <f t="shared" si="3"/>
        <v>11025.025376972757</v>
      </c>
    </row>
    <row r="60" spans="1:14" x14ac:dyDescent="0.2">
      <c r="A60" s="18" t="s">
        <v>97</v>
      </c>
      <c r="B60" s="19">
        <v>2444</v>
      </c>
      <c r="C60" s="18">
        <v>209</v>
      </c>
      <c r="D60" s="18">
        <v>0</v>
      </c>
      <c r="E60" s="18">
        <v>0</v>
      </c>
      <c r="F60" s="18">
        <f t="shared" si="0"/>
        <v>209</v>
      </c>
      <c r="G60" s="18">
        <v>0</v>
      </c>
      <c r="H60" s="18">
        <v>0</v>
      </c>
      <c r="I60" s="18">
        <v>0</v>
      </c>
      <c r="J60" s="18">
        <f t="shared" si="1"/>
        <v>209</v>
      </c>
      <c r="K60" s="18">
        <f t="shared" si="1"/>
        <v>0</v>
      </c>
      <c r="L60" s="18">
        <f t="shared" si="1"/>
        <v>0</v>
      </c>
      <c r="M60" s="18">
        <f t="shared" si="2"/>
        <v>209</v>
      </c>
      <c r="N60" s="29">
        <f t="shared" si="3"/>
        <v>15259.803336339777</v>
      </c>
    </row>
    <row r="61" spans="1:14" x14ac:dyDescent="0.2">
      <c r="A61" s="18" t="s">
        <v>98</v>
      </c>
      <c r="B61" s="19">
        <v>5209</v>
      </c>
      <c r="C61" s="18">
        <v>279</v>
      </c>
      <c r="D61" s="18">
        <v>0</v>
      </c>
      <c r="E61" s="18">
        <v>0</v>
      </c>
      <c r="F61" s="18">
        <f t="shared" si="0"/>
        <v>279</v>
      </c>
      <c r="G61" s="18">
        <v>0</v>
      </c>
      <c r="H61" s="18">
        <v>0</v>
      </c>
      <c r="I61" s="18">
        <v>0</v>
      </c>
      <c r="J61" s="18">
        <f t="shared" si="1"/>
        <v>279</v>
      </c>
      <c r="K61" s="18">
        <f t="shared" si="1"/>
        <v>0</v>
      </c>
      <c r="L61" s="18">
        <f t="shared" si="1"/>
        <v>0</v>
      </c>
      <c r="M61" s="18">
        <f t="shared" si="2"/>
        <v>279</v>
      </c>
      <c r="N61" s="29">
        <f t="shared" si="3"/>
        <v>20370.742252817214</v>
      </c>
    </row>
    <row r="62" spans="1:14" x14ac:dyDescent="0.2">
      <c r="A62" s="18" t="s">
        <v>99</v>
      </c>
      <c r="B62" s="19">
        <v>2469</v>
      </c>
      <c r="C62" s="18">
        <v>386</v>
      </c>
      <c r="D62" s="18">
        <v>0</v>
      </c>
      <c r="E62" s="18">
        <v>0</v>
      </c>
      <c r="F62" s="18">
        <f t="shared" si="0"/>
        <v>386</v>
      </c>
      <c r="G62" s="18">
        <v>0</v>
      </c>
      <c r="H62" s="18">
        <v>0</v>
      </c>
      <c r="I62" s="18">
        <v>0</v>
      </c>
      <c r="J62" s="18">
        <f t="shared" si="1"/>
        <v>386</v>
      </c>
      <c r="K62" s="18">
        <f t="shared" si="1"/>
        <v>0</v>
      </c>
      <c r="L62" s="18">
        <f t="shared" si="1"/>
        <v>0</v>
      </c>
      <c r="M62" s="18">
        <f t="shared" si="2"/>
        <v>386</v>
      </c>
      <c r="N62" s="29">
        <f t="shared" si="3"/>
        <v>28183.177453718439</v>
      </c>
    </row>
    <row r="63" spans="1:14" x14ac:dyDescent="0.2">
      <c r="A63" s="18" t="s">
        <v>100</v>
      </c>
      <c r="B63" s="19">
        <v>2430</v>
      </c>
      <c r="C63" s="18">
        <v>112</v>
      </c>
      <c r="D63" s="18">
        <v>0</v>
      </c>
      <c r="E63" s="18">
        <v>0</v>
      </c>
      <c r="F63" s="18">
        <f t="shared" si="0"/>
        <v>112</v>
      </c>
      <c r="G63" s="18">
        <v>0</v>
      </c>
      <c r="H63" s="18">
        <v>0</v>
      </c>
      <c r="I63" s="18">
        <v>0</v>
      </c>
      <c r="J63" s="18">
        <f t="shared" si="1"/>
        <v>112</v>
      </c>
      <c r="K63" s="18">
        <f t="shared" si="1"/>
        <v>0</v>
      </c>
      <c r="L63" s="18">
        <f t="shared" si="1"/>
        <v>0</v>
      </c>
      <c r="M63" s="18">
        <f t="shared" si="2"/>
        <v>112</v>
      </c>
      <c r="N63" s="29">
        <f t="shared" si="3"/>
        <v>8177.5022663638993</v>
      </c>
    </row>
    <row r="64" spans="1:14" x14ac:dyDescent="0.2">
      <c r="A64" s="18" t="s">
        <v>101</v>
      </c>
      <c r="B64" s="19">
        <v>2466</v>
      </c>
      <c r="C64" s="18">
        <v>164</v>
      </c>
      <c r="D64" s="18">
        <v>0</v>
      </c>
      <c r="E64" s="18">
        <v>0</v>
      </c>
      <c r="F64" s="18">
        <f t="shared" si="0"/>
        <v>164</v>
      </c>
      <c r="G64" s="18">
        <v>0</v>
      </c>
      <c r="H64" s="18">
        <v>0</v>
      </c>
      <c r="I64" s="18">
        <v>0</v>
      </c>
      <c r="J64" s="18">
        <f t="shared" si="1"/>
        <v>164</v>
      </c>
      <c r="K64" s="18">
        <f t="shared" si="1"/>
        <v>0</v>
      </c>
      <c r="L64" s="18">
        <f t="shared" si="1"/>
        <v>0</v>
      </c>
      <c r="M64" s="18">
        <f t="shared" si="2"/>
        <v>164</v>
      </c>
      <c r="N64" s="29">
        <f t="shared" si="3"/>
        <v>11974.199747175709</v>
      </c>
    </row>
    <row r="65" spans="1:14" x14ac:dyDescent="0.2">
      <c r="A65" s="18" t="s">
        <v>102</v>
      </c>
      <c r="B65" s="19">
        <v>3543</v>
      </c>
      <c r="C65" s="18">
        <v>286</v>
      </c>
      <c r="D65" s="18">
        <v>0</v>
      </c>
      <c r="E65" s="18">
        <v>0</v>
      </c>
      <c r="F65" s="18">
        <f t="shared" si="0"/>
        <v>286</v>
      </c>
      <c r="G65" s="18">
        <v>0</v>
      </c>
      <c r="H65" s="18">
        <v>0</v>
      </c>
      <c r="I65" s="18">
        <v>0</v>
      </c>
      <c r="J65" s="18">
        <f t="shared" si="1"/>
        <v>286</v>
      </c>
      <c r="K65" s="18">
        <f t="shared" si="1"/>
        <v>0</v>
      </c>
      <c r="L65" s="18">
        <f t="shared" si="1"/>
        <v>0</v>
      </c>
      <c r="M65" s="18">
        <f t="shared" si="2"/>
        <v>286</v>
      </c>
      <c r="N65" s="29">
        <f t="shared" si="3"/>
        <v>20881.83614446496</v>
      </c>
    </row>
    <row r="66" spans="1:14" x14ac:dyDescent="0.2">
      <c r="A66" s="18" t="s">
        <v>104</v>
      </c>
      <c r="B66" s="19">
        <v>3531</v>
      </c>
      <c r="C66" s="18">
        <v>340</v>
      </c>
      <c r="D66" s="18">
        <v>0</v>
      </c>
      <c r="E66" s="18">
        <v>0</v>
      </c>
      <c r="F66" s="18">
        <f t="shared" si="0"/>
        <v>340</v>
      </c>
      <c r="G66" s="18">
        <v>0</v>
      </c>
      <c r="H66" s="18">
        <v>0</v>
      </c>
      <c r="I66" s="18">
        <v>0</v>
      </c>
      <c r="J66" s="18">
        <f t="shared" si="1"/>
        <v>340</v>
      </c>
      <c r="K66" s="18">
        <f t="shared" si="1"/>
        <v>0</v>
      </c>
      <c r="L66" s="18">
        <f t="shared" si="1"/>
        <v>0</v>
      </c>
      <c r="M66" s="18">
        <f t="shared" si="2"/>
        <v>340</v>
      </c>
      <c r="N66" s="29">
        <f t="shared" si="3"/>
        <v>24824.560451461839</v>
      </c>
    </row>
    <row r="67" spans="1:14" x14ac:dyDescent="0.2">
      <c r="A67" s="18" t="s">
        <v>164</v>
      </c>
      <c r="B67" s="19">
        <v>3526</v>
      </c>
      <c r="C67" s="18">
        <v>90</v>
      </c>
      <c r="D67" s="18">
        <v>0</v>
      </c>
      <c r="E67" s="18">
        <v>0</v>
      </c>
      <c r="F67" s="18">
        <f t="shared" si="0"/>
        <v>90</v>
      </c>
      <c r="G67" s="18">
        <v>0</v>
      </c>
      <c r="H67" s="18">
        <v>0</v>
      </c>
      <c r="I67" s="18">
        <v>0</v>
      </c>
      <c r="J67" s="18">
        <f t="shared" si="1"/>
        <v>90</v>
      </c>
      <c r="K67" s="18">
        <f t="shared" si="1"/>
        <v>0</v>
      </c>
      <c r="L67" s="18">
        <f t="shared" si="1"/>
        <v>0</v>
      </c>
      <c r="M67" s="18">
        <f t="shared" si="2"/>
        <v>90</v>
      </c>
      <c r="N67" s="29">
        <f t="shared" si="3"/>
        <v>6571.2071783281335</v>
      </c>
    </row>
    <row r="68" spans="1:14" x14ac:dyDescent="0.2">
      <c r="A68" s="18" t="s">
        <v>165</v>
      </c>
      <c r="B68" s="19">
        <v>3535</v>
      </c>
      <c r="C68" s="18">
        <v>294</v>
      </c>
      <c r="D68" s="18">
        <v>0</v>
      </c>
      <c r="E68" s="18">
        <v>0</v>
      </c>
      <c r="F68" s="18">
        <f t="shared" si="0"/>
        <v>294</v>
      </c>
      <c r="G68" s="18">
        <v>0</v>
      </c>
      <c r="H68" s="18">
        <v>0</v>
      </c>
      <c r="I68" s="18">
        <v>0</v>
      </c>
      <c r="J68" s="18">
        <f t="shared" si="1"/>
        <v>294</v>
      </c>
      <c r="K68" s="18">
        <f t="shared" si="1"/>
        <v>0</v>
      </c>
      <c r="L68" s="18">
        <f t="shared" si="1"/>
        <v>0</v>
      </c>
      <c r="M68" s="18">
        <f t="shared" si="2"/>
        <v>294</v>
      </c>
      <c r="N68" s="29">
        <f t="shared" si="3"/>
        <v>21465.943449205235</v>
      </c>
    </row>
    <row r="69" spans="1:14" x14ac:dyDescent="0.2">
      <c r="A69" s="21" t="s">
        <v>107</v>
      </c>
      <c r="B69" s="19">
        <v>2008</v>
      </c>
      <c r="C69" s="18">
        <v>218</v>
      </c>
      <c r="D69" s="18">
        <v>0</v>
      </c>
      <c r="E69" s="18">
        <v>0</v>
      </c>
      <c r="F69" s="18">
        <f t="shared" si="0"/>
        <v>218</v>
      </c>
      <c r="G69" s="18">
        <v>0</v>
      </c>
      <c r="H69" s="18">
        <v>0</v>
      </c>
      <c r="I69" s="18">
        <v>0</v>
      </c>
      <c r="J69" s="18">
        <f t="shared" si="1"/>
        <v>218</v>
      </c>
      <c r="K69" s="18">
        <f t="shared" si="1"/>
        <v>0</v>
      </c>
      <c r="L69" s="18">
        <f t="shared" si="1"/>
        <v>0</v>
      </c>
      <c r="M69" s="18">
        <f t="shared" si="2"/>
        <v>218</v>
      </c>
      <c r="N69" s="29">
        <f t="shared" si="3"/>
        <v>15916.92405417259</v>
      </c>
    </row>
    <row r="70" spans="1:14" x14ac:dyDescent="0.2">
      <c r="A70" s="18" t="s">
        <v>166</v>
      </c>
      <c r="B70" s="19">
        <v>3542</v>
      </c>
      <c r="C70" s="18">
        <v>353</v>
      </c>
      <c r="D70" s="18">
        <v>0</v>
      </c>
      <c r="E70" s="18">
        <v>0</v>
      </c>
      <c r="F70" s="18">
        <f t="shared" si="0"/>
        <v>353</v>
      </c>
      <c r="G70" s="18">
        <v>0</v>
      </c>
      <c r="H70" s="18">
        <v>0</v>
      </c>
      <c r="I70" s="18">
        <v>0</v>
      </c>
      <c r="J70" s="18">
        <f t="shared" si="1"/>
        <v>353</v>
      </c>
      <c r="K70" s="18">
        <f t="shared" si="1"/>
        <v>0</v>
      </c>
      <c r="L70" s="18">
        <f t="shared" si="1"/>
        <v>0</v>
      </c>
      <c r="M70" s="18">
        <f t="shared" si="2"/>
        <v>353</v>
      </c>
      <c r="N70" s="29">
        <f t="shared" si="3"/>
        <v>25773.734821664792</v>
      </c>
    </row>
    <row r="71" spans="1:14" x14ac:dyDescent="0.2">
      <c r="A71" s="18" t="s">
        <v>167</v>
      </c>
      <c r="B71" s="19">
        <v>3528</v>
      </c>
      <c r="C71" s="18">
        <v>342</v>
      </c>
      <c r="D71" s="18">
        <v>0</v>
      </c>
      <c r="E71" s="18">
        <v>0</v>
      </c>
      <c r="F71" s="18">
        <f t="shared" ref="F71:F76" si="4">SUM(C71:E71)</f>
        <v>342</v>
      </c>
      <c r="G71" s="18">
        <v>0</v>
      </c>
      <c r="H71" s="18">
        <v>0</v>
      </c>
      <c r="I71" s="18">
        <v>0</v>
      </c>
      <c r="J71" s="18">
        <f t="shared" ref="J71:L76" si="5">C71-G71</f>
        <v>342</v>
      </c>
      <c r="K71" s="18">
        <f t="shared" si="5"/>
        <v>0</v>
      </c>
      <c r="L71" s="18">
        <f t="shared" si="5"/>
        <v>0</v>
      </c>
      <c r="M71" s="18">
        <f t="shared" ref="M71:M76" si="6">SUM(J71:L71)</f>
        <v>342</v>
      </c>
      <c r="N71" s="29">
        <f t="shared" ref="N71:N76" si="7">SUM(J71*$J$1)+SUM(K71*$K$3)+SUM(L71*$L$4)</f>
        <v>24970.587277646908</v>
      </c>
    </row>
    <row r="72" spans="1:14" x14ac:dyDescent="0.2">
      <c r="A72" s="18" t="s">
        <v>168</v>
      </c>
      <c r="B72" s="19">
        <v>3534</v>
      </c>
      <c r="C72" s="18">
        <v>240</v>
      </c>
      <c r="D72" s="18">
        <v>0</v>
      </c>
      <c r="E72" s="18">
        <v>0</v>
      </c>
      <c r="F72" s="18">
        <f t="shared" si="4"/>
        <v>240</v>
      </c>
      <c r="G72" s="18">
        <v>0</v>
      </c>
      <c r="H72" s="18">
        <v>0</v>
      </c>
      <c r="I72" s="18">
        <v>0</v>
      </c>
      <c r="J72" s="18">
        <f t="shared" si="5"/>
        <v>240</v>
      </c>
      <c r="K72" s="18">
        <f t="shared" si="5"/>
        <v>0</v>
      </c>
      <c r="L72" s="18">
        <f t="shared" si="5"/>
        <v>0</v>
      </c>
      <c r="M72" s="18">
        <f t="shared" si="6"/>
        <v>240</v>
      </c>
      <c r="N72" s="29">
        <f t="shared" si="7"/>
        <v>17523.219142208356</v>
      </c>
    </row>
    <row r="73" spans="1:14" x14ac:dyDescent="0.2">
      <c r="A73" s="18" t="s">
        <v>169</v>
      </c>
      <c r="B73" s="19">
        <v>3532</v>
      </c>
      <c r="C73" s="18">
        <v>304</v>
      </c>
      <c r="D73" s="18">
        <v>0</v>
      </c>
      <c r="E73" s="18">
        <v>0</v>
      </c>
      <c r="F73" s="18">
        <f t="shared" si="4"/>
        <v>304</v>
      </c>
      <c r="G73" s="18">
        <v>0</v>
      </c>
      <c r="H73" s="18">
        <v>0</v>
      </c>
      <c r="I73" s="18">
        <v>0</v>
      </c>
      <c r="J73" s="18">
        <f t="shared" si="5"/>
        <v>304</v>
      </c>
      <c r="K73" s="18">
        <f t="shared" si="5"/>
        <v>0</v>
      </c>
      <c r="L73" s="18">
        <f t="shared" si="5"/>
        <v>0</v>
      </c>
      <c r="M73" s="18">
        <f t="shared" si="6"/>
        <v>304</v>
      </c>
      <c r="N73" s="29">
        <f t="shared" si="7"/>
        <v>22196.077580130586</v>
      </c>
    </row>
    <row r="74" spans="1:14" x14ac:dyDescent="0.2">
      <c r="A74" s="18" t="s">
        <v>112</v>
      </c>
      <c r="B74" s="19">
        <v>3546</v>
      </c>
      <c r="C74" s="18">
        <v>502</v>
      </c>
      <c r="D74" s="18">
        <v>0</v>
      </c>
      <c r="E74" s="18">
        <v>0</v>
      </c>
      <c r="F74" s="18">
        <f t="shared" si="4"/>
        <v>502</v>
      </c>
      <c r="G74" s="18">
        <v>0</v>
      </c>
      <c r="H74" s="18">
        <v>0</v>
      </c>
      <c r="I74" s="18">
        <v>0</v>
      </c>
      <c r="J74" s="18">
        <f t="shared" si="5"/>
        <v>502</v>
      </c>
      <c r="K74" s="18">
        <f t="shared" si="5"/>
        <v>0</v>
      </c>
      <c r="L74" s="18">
        <f t="shared" si="5"/>
        <v>0</v>
      </c>
      <c r="M74" s="18">
        <f t="shared" si="6"/>
        <v>502</v>
      </c>
      <c r="N74" s="29">
        <f t="shared" si="7"/>
        <v>36652.73337245248</v>
      </c>
    </row>
    <row r="75" spans="1:14" x14ac:dyDescent="0.2">
      <c r="A75" s="18" t="s">
        <v>170</v>
      </c>
      <c r="B75" s="19">
        <v>3530</v>
      </c>
      <c r="C75" s="18">
        <v>303</v>
      </c>
      <c r="D75" s="18">
        <v>0</v>
      </c>
      <c r="E75" s="18">
        <v>0</v>
      </c>
      <c r="F75" s="18">
        <f t="shared" si="4"/>
        <v>303</v>
      </c>
      <c r="G75" s="18">
        <v>0</v>
      </c>
      <c r="H75" s="18">
        <v>0</v>
      </c>
      <c r="I75" s="18">
        <v>0</v>
      </c>
      <c r="J75" s="18">
        <f t="shared" si="5"/>
        <v>303</v>
      </c>
      <c r="K75" s="18">
        <f t="shared" si="5"/>
        <v>0</v>
      </c>
      <c r="L75" s="18">
        <f t="shared" si="5"/>
        <v>0</v>
      </c>
      <c r="M75" s="18">
        <f t="shared" si="6"/>
        <v>303</v>
      </c>
      <c r="N75" s="29">
        <f t="shared" si="7"/>
        <v>22123.06416703805</v>
      </c>
    </row>
    <row r="76" spans="1:14" x14ac:dyDescent="0.2">
      <c r="A76" s="18" t="s">
        <v>114</v>
      </c>
      <c r="B76" s="19">
        <v>2459</v>
      </c>
      <c r="C76" s="18">
        <v>382</v>
      </c>
      <c r="D76" s="18">
        <v>0</v>
      </c>
      <c r="E76" s="18">
        <v>0</v>
      </c>
      <c r="F76" s="18">
        <f t="shared" si="4"/>
        <v>382</v>
      </c>
      <c r="G76" s="18">
        <v>0</v>
      </c>
      <c r="H76" s="18">
        <v>0</v>
      </c>
      <c r="I76" s="18">
        <v>0</v>
      </c>
      <c r="J76" s="18">
        <f t="shared" si="5"/>
        <v>382</v>
      </c>
      <c r="K76" s="18">
        <f t="shared" si="5"/>
        <v>0</v>
      </c>
      <c r="L76" s="18">
        <f t="shared" si="5"/>
        <v>0</v>
      </c>
      <c r="M76" s="18">
        <f t="shared" si="6"/>
        <v>382</v>
      </c>
      <c r="N76" s="29">
        <f t="shared" si="7"/>
        <v>27891.123801348302</v>
      </c>
    </row>
    <row r="77" spans="1:14" x14ac:dyDescent="0.2">
      <c r="A77" s="18"/>
      <c r="B77" s="19"/>
      <c r="C77" s="18"/>
      <c r="D77" s="18"/>
      <c r="E77" s="18"/>
      <c r="F77" s="18"/>
      <c r="G77" s="18"/>
      <c r="H77" s="18"/>
      <c r="I77" s="18"/>
      <c r="J77" s="18"/>
      <c r="K77" s="18"/>
      <c r="L77" s="18"/>
      <c r="M77" s="18"/>
      <c r="N77" s="30"/>
    </row>
    <row r="78" spans="1:14" x14ac:dyDescent="0.2">
      <c r="A78" s="9" t="s">
        <v>171</v>
      </c>
      <c r="B78" s="9" t="s">
        <v>171</v>
      </c>
      <c r="C78" s="9">
        <f t="shared" ref="C78:N78" si="8">SUM(C7:C77)</f>
        <v>20607</v>
      </c>
      <c r="D78" s="9">
        <f t="shared" si="8"/>
        <v>0</v>
      </c>
      <c r="E78" s="9">
        <f t="shared" si="8"/>
        <v>0</v>
      </c>
      <c r="F78" s="9">
        <f t="shared" si="8"/>
        <v>20607</v>
      </c>
      <c r="G78" s="9">
        <f t="shared" si="8"/>
        <v>107</v>
      </c>
      <c r="H78" s="9">
        <f t="shared" si="8"/>
        <v>0</v>
      </c>
      <c r="I78" s="9">
        <f t="shared" si="8"/>
        <v>0</v>
      </c>
      <c r="J78" s="9">
        <f t="shared" si="8"/>
        <v>20500</v>
      </c>
      <c r="K78" s="9">
        <f t="shared" si="8"/>
        <v>0</v>
      </c>
      <c r="L78" s="9">
        <f t="shared" si="8"/>
        <v>0</v>
      </c>
      <c r="M78" s="9">
        <f t="shared" si="8"/>
        <v>20500</v>
      </c>
      <c r="N78" s="9">
        <f t="shared" si="8"/>
        <v>1496774.968396964</v>
      </c>
    </row>
    <row r="79" spans="1:14" x14ac:dyDescent="0.2">
      <c r="A79" s="18"/>
      <c r="B79" s="19"/>
      <c r="C79" s="18"/>
      <c r="D79" s="18"/>
      <c r="E79" s="18"/>
      <c r="F79" s="18"/>
      <c r="G79" s="18"/>
      <c r="H79" s="18"/>
      <c r="I79" s="18"/>
      <c r="J79" s="18"/>
      <c r="K79" s="18"/>
      <c r="L79" s="18"/>
      <c r="M79" s="18"/>
      <c r="N79" s="30"/>
    </row>
    <row r="80" spans="1:14" x14ac:dyDescent="0.2">
      <c r="A80" s="18" t="s">
        <v>127</v>
      </c>
      <c r="B80" s="19">
        <v>5402</v>
      </c>
      <c r="C80" s="18">
        <v>0</v>
      </c>
      <c r="D80" s="18">
        <v>804</v>
      </c>
      <c r="E80" s="18">
        <v>548</v>
      </c>
      <c r="F80" s="18">
        <f t="shared" ref="F80:F92" si="9">SUM(C80:E80)</f>
        <v>1352</v>
      </c>
      <c r="G80" s="18">
        <v>0</v>
      </c>
      <c r="H80" s="18">
        <v>0</v>
      </c>
      <c r="I80" s="18">
        <v>0</v>
      </c>
      <c r="J80" s="18">
        <f t="shared" ref="J80:L92" si="10">C80-G80</f>
        <v>0</v>
      </c>
      <c r="K80" s="18">
        <f t="shared" si="10"/>
        <v>804</v>
      </c>
      <c r="L80" s="18">
        <f t="shared" si="10"/>
        <v>548</v>
      </c>
      <c r="M80" s="18">
        <f t="shared" ref="M80:M92" si="11">SUM(J80:L80)</f>
        <v>1352</v>
      </c>
      <c r="N80" s="29">
        <f t="shared" ref="N80:N92" si="12">SUM(J80*$J$1)+SUM(K80*$K$3)+SUM(L80*$L$4)</f>
        <v>89377.623185874676</v>
      </c>
    </row>
    <row r="81" spans="1:14" x14ac:dyDescent="0.2">
      <c r="A81" s="18" t="s">
        <v>116</v>
      </c>
      <c r="B81" s="19">
        <v>4608</v>
      </c>
      <c r="C81" s="18">
        <v>0</v>
      </c>
      <c r="D81" s="18">
        <v>357</v>
      </c>
      <c r="E81" s="18">
        <v>250</v>
      </c>
      <c r="F81" s="18">
        <f t="shared" si="9"/>
        <v>607</v>
      </c>
      <c r="G81" s="18">
        <v>0</v>
      </c>
      <c r="H81" s="18">
        <v>0</v>
      </c>
      <c r="I81" s="18">
        <v>0</v>
      </c>
      <c r="J81" s="18">
        <f t="shared" si="10"/>
        <v>0</v>
      </c>
      <c r="K81" s="18">
        <f t="shared" si="10"/>
        <v>357</v>
      </c>
      <c r="L81" s="18">
        <f t="shared" si="10"/>
        <v>250</v>
      </c>
      <c r="M81" s="18">
        <f t="shared" si="11"/>
        <v>607</v>
      </c>
      <c r="N81" s="29">
        <f t="shared" si="12"/>
        <v>40127.3796404038</v>
      </c>
    </row>
    <row r="82" spans="1:14" x14ac:dyDescent="0.2">
      <c r="A82" s="18" t="s">
        <v>172</v>
      </c>
      <c r="B82" s="19">
        <v>4178</v>
      </c>
      <c r="C82" s="18">
        <v>0</v>
      </c>
      <c r="D82" s="18">
        <v>771</v>
      </c>
      <c r="E82" s="18">
        <v>502</v>
      </c>
      <c r="F82" s="18">
        <f t="shared" si="9"/>
        <v>1273</v>
      </c>
      <c r="G82" s="18">
        <v>0</v>
      </c>
      <c r="H82" s="18">
        <v>0</v>
      </c>
      <c r="I82" s="18">
        <v>0</v>
      </c>
      <c r="J82" s="18">
        <f t="shared" si="10"/>
        <v>0</v>
      </c>
      <c r="K82" s="18">
        <f t="shared" si="10"/>
        <v>771</v>
      </c>
      <c r="L82" s="18">
        <f t="shared" si="10"/>
        <v>502</v>
      </c>
      <c r="M82" s="18">
        <f t="shared" si="11"/>
        <v>1273</v>
      </c>
      <c r="N82" s="29">
        <f t="shared" si="12"/>
        <v>84155.114138771052</v>
      </c>
    </row>
    <row r="83" spans="1:14" x14ac:dyDescent="0.2">
      <c r="A83" s="18" t="s">
        <v>118</v>
      </c>
      <c r="B83" s="19">
        <v>4181</v>
      </c>
      <c r="C83" s="18">
        <v>0</v>
      </c>
      <c r="D83" s="18">
        <v>651</v>
      </c>
      <c r="E83" s="18">
        <v>436</v>
      </c>
      <c r="F83" s="18">
        <f t="shared" si="9"/>
        <v>1087</v>
      </c>
      <c r="G83" s="18">
        <v>0</v>
      </c>
      <c r="H83" s="18">
        <v>8</v>
      </c>
      <c r="I83" s="18">
        <v>4</v>
      </c>
      <c r="J83" s="18">
        <f t="shared" si="10"/>
        <v>0</v>
      </c>
      <c r="K83" s="18">
        <f t="shared" si="10"/>
        <v>643</v>
      </c>
      <c r="L83" s="18">
        <f t="shared" si="10"/>
        <v>432</v>
      </c>
      <c r="M83" s="18">
        <f t="shared" si="11"/>
        <v>1075</v>
      </c>
      <c r="N83" s="29">
        <f t="shared" si="12"/>
        <v>71065.78766628349</v>
      </c>
    </row>
    <row r="84" spans="1:14" x14ac:dyDescent="0.2">
      <c r="A84" s="18" t="s">
        <v>119</v>
      </c>
      <c r="B84" s="19">
        <v>4182</v>
      </c>
      <c r="C84" s="18">
        <v>0</v>
      </c>
      <c r="D84" s="18">
        <v>812</v>
      </c>
      <c r="E84" s="18">
        <v>515</v>
      </c>
      <c r="F84" s="18">
        <f t="shared" si="9"/>
        <v>1327</v>
      </c>
      <c r="G84" s="18">
        <v>0</v>
      </c>
      <c r="H84" s="18">
        <v>0</v>
      </c>
      <c r="I84" s="18">
        <v>0</v>
      </c>
      <c r="J84" s="18">
        <f t="shared" si="10"/>
        <v>0</v>
      </c>
      <c r="K84" s="18">
        <f t="shared" si="10"/>
        <v>812</v>
      </c>
      <c r="L84" s="18">
        <f t="shared" si="10"/>
        <v>515</v>
      </c>
      <c r="M84" s="18">
        <f t="shared" si="11"/>
        <v>1327</v>
      </c>
      <c r="N84" s="29">
        <f t="shared" si="12"/>
        <v>87724.930449449486</v>
      </c>
    </row>
    <row r="85" spans="1:14" x14ac:dyDescent="0.2">
      <c r="A85" s="18" t="s">
        <v>120</v>
      </c>
      <c r="B85" s="221">
        <v>4001</v>
      </c>
      <c r="C85" s="18">
        <v>0</v>
      </c>
      <c r="D85" s="18">
        <v>480</v>
      </c>
      <c r="E85" s="18">
        <v>347</v>
      </c>
      <c r="F85" s="18">
        <f t="shared" si="9"/>
        <v>827</v>
      </c>
      <c r="G85" s="18">
        <v>0</v>
      </c>
      <c r="H85" s="18">
        <v>0</v>
      </c>
      <c r="I85" s="18">
        <v>0</v>
      </c>
      <c r="J85" s="18">
        <f t="shared" si="10"/>
        <v>0</v>
      </c>
      <c r="K85" s="18">
        <f t="shared" si="10"/>
        <v>480</v>
      </c>
      <c r="L85" s="18">
        <f t="shared" si="10"/>
        <v>347</v>
      </c>
      <c r="M85" s="18">
        <f t="shared" si="11"/>
        <v>827</v>
      </c>
      <c r="N85" s="29">
        <f t="shared" si="12"/>
        <v>54671.075720945533</v>
      </c>
    </row>
    <row r="86" spans="1:14" x14ac:dyDescent="0.2">
      <c r="A86" s="18" t="s">
        <v>173</v>
      </c>
      <c r="B86" s="19">
        <v>5406</v>
      </c>
      <c r="C86" s="18">
        <v>0</v>
      </c>
      <c r="D86" s="18">
        <v>518</v>
      </c>
      <c r="E86" s="18">
        <v>391</v>
      </c>
      <c r="F86" s="18">
        <f t="shared" si="9"/>
        <v>909</v>
      </c>
      <c r="G86" s="18">
        <v>0</v>
      </c>
      <c r="H86" s="18">
        <v>0</v>
      </c>
      <c r="I86" s="18">
        <v>0</v>
      </c>
      <c r="J86" s="18">
        <f t="shared" si="10"/>
        <v>0</v>
      </c>
      <c r="K86" s="18">
        <f t="shared" si="10"/>
        <v>518</v>
      </c>
      <c r="L86" s="18">
        <f t="shared" si="10"/>
        <v>391</v>
      </c>
      <c r="M86" s="18">
        <f t="shared" si="11"/>
        <v>909</v>
      </c>
      <c r="N86" s="29">
        <f t="shared" si="12"/>
        <v>60091.907896420176</v>
      </c>
    </row>
    <row r="87" spans="1:14" x14ac:dyDescent="0.2">
      <c r="A87" s="18" t="s">
        <v>174</v>
      </c>
      <c r="B87" s="19">
        <v>5407</v>
      </c>
      <c r="C87" s="18">
        <v>0</v>
      </c>
      <c r="D87" s="18">
        <v>596</v>
      </c>
      <c r="E87" s="18">
        <v>389</v>
      </c>
      <c r="F87" s="18">
        <f t="shared" si="9"/>
        <v>985</v>
      </c>
      <c r="G87" s="18">
        <v>0</v>
      </c>
      <c r="H87" s="18">
        <v>0</v>
      </c>
      <c r="I87" s="18">
        <v>0</v>
      </c>
      <c r="J87" s="18">
        <f t="shared" si="10"/>
        <v>0</v>
      </c>
      <c r="K87" s="18">
        <f t="shared" si="10"/>
        <v>596</v>
      </c>
      <c r="L87" s="18">
        <f t="shared" si="10"/>
        <v>389</v>
      </c>
      <c r="M87" s="18">
        <f t="shared" si="11"/>
        <v>985</v>
      </c>
      <c r="N87" s="29">
        <f t="shared" si="12"/>
        <v>65116.093815152781</v>
      </c>
    </row>
    <row r="88" spans="1:14" x14ac:dyDescent="0.2">
      <c r="A88" s="18" t="s">
        <v>123</v>
      </c>
      <c r="B88" s="19">
        <v>4607</v>
      </c>
      <c r="C88" s="18">
        <v>0</v>
      </c>
      <c r="D88" s="18">
        <v>718</v>
      </c>
      <c r="E88" s="18">
        <v>472</v>
      </c>
      <c r="F88" s="18">
        <f t="shared" si="9"/>
        <v>1190</v>
      </c>
      <c r="G88" s="18">
        <v>0</v>
      </c>
      <c r="H88" s="18">
        <v>14</v>
      </c>
      <c r="I88" s="18">
        <v>3</v>
      </c>
      <c r="J88" s="18">
        <f t="shared" si="10"/>
        <v>0</v>
      </c>
      <c r="K88" s="18">
        <f t="shared" si="10"/>
        <v>704</v>
      </c>
      <c r="L88" s="18">
        <f t="shared" si="10"/>
        <v>469</v>
      </c>
      <c r="M88" s="18">
        <f t="shared" si="11"/>
        <v>1173</v>
      </c>
      <c r="N88" s="29">
        <f t="shared" si="12"/>
        <v>77544.343193070265</v>
      </c>
    </row>
    <row r="89" spans="1:14" x14ac:dyDescent="0.2">
      <c r="A89" s="18" t="s">
        <v>124</v>
      </c>
      <c r="B89" s="221">
        <v>4002</v>
      </c>
      <c r="C89" s="18">
        <v>0</v>
      </c>
      <c r="D89" s="18">
        <v>475</v>
      </c>
      <c r="E89" s="18">
        <v>365</v>
      </c>
      <c r="F89" s="18">
        <f t="shared" si="9"/>
        <v>840</v>
      </c>
      <c r="G89" s="18">
        <v>0</v>
      </c>
      <c r="H89" s="18">
        <v>0</v>
      </c>
      <c r="I89" s="18">
        <v>0</v>
      </c>
      <c r="J89" s="18">
        <f t="shared" si="10"/>
        <v>0</v>
      </c>
      <c r="K89" s="18">
        <f t="shared" si="10"/>
        <v>475</v>
      </c>
      <c r="L89" s="18">
        <f t="shared" si="10"/>
        <v>365</v>
      </c>
      <c r="M89" s="18">
        <f t="shared" si="11"/>
        <v>840</v>
      </c>
      <c r="N89" s="29">
        <f t="shared" si="12"/>
        <v>55530.475943886631</v>
      </c>
    </row>
    <row r="90" spans="1:14" x14ac:dyDescent="0.2">
      <c r="A90" s="18" t="s">
        <v>175</v>
      </c>
      <c r="B90" s="19">
        <v>4177</v>
      </c>
      <c r="C90" s="18">
        <v>0</v>
      </c>
      <c r="D90" s="18">
        <v>318</v>
      </c>
      <c r="E90" s="18">
        <v>286</v>
      </c>
      <c r="F90" s="18">
        <f t="shared" si="9"/>
        <v>604</v>
      </c>
      <c r="G90" s="18">
        <v>0</v>
      </c>
      <c r="H90" s="18">
        <v>20</v>
      </c>
      <c r="I90" s="18">
        <v>18</v>
      </c>
      <c r="J90" s="18">
        <f t="shared" si="10"/>
        <v>0</v>
      </c>
      <c r="K90" s="18">
        <f t="shared" si="10"/>
        <v>298</v>
      </c>
      <c r="L90" s="18">
        <f t="shared" si="10"/>
        <v>268</v>
      </c>
      <c r="M90" s="18">
        <f t="shared" si="11"/>
        <v>566</v>
      </c>
      <c r="N90" s="29">
        <f t="shared" si="12"/>
        <v>37416.963552666472</v>
      </c>
    </row>
    <row r="91" spans="1:14" x14ac:dyDescent="0.2">
      <c r="A91" s="18" t="s">
        <v>126</v>
      </c>
      <c r="B91" s="19">
        <v>5412</v>
      </c>
      <c r="C91" s="18">
        <v>0</v>
      </c>
      <c r="D91" s="18">
        <v>783</v>
      </c>
      <c r="E91" s="18">
        <v>506</v>
      </c>
      <c r="F91" s="18">
        <f t="shared" si="9"/>
        <v>1289</v>
      </c>
      <c r="G91" s="18">
        <v>0</v>
      </c>
      <c r="H91" s="18">
        <v>0</v>
      </c>
      <c r="I91" s="18">
        <v>0</v>
      </c>
      <c r="J91" s="18">
        <f t="shared" si="10"/>
        <v>0</v>
      </c>
      <c r="K91" s="18">
        <f t="shared" si="10"/>
        <v>783</v>
      </c>
      <c r="L91" s="18">
        <f t="shared" si="10"/>
        <v>506</v>
      </c>
      <c r="M91" s="18">
        <f t="shared" si="11"/>
        <v>1289</v>
      </c>
      <c r="N91" s="29">
        <f t="shared" si="12"/>
        <v>85212.837490083184</v>
      </c>
    </row>
    <row r="92" spans="1:14" x14ac:dyDescent="0.2">
      <c r="A92" s="18" t="s">
        <v>125</v>
      </c>
      <c r="B92" s="19">
        <v>5414</v>
      </c>
      <c r="C92" s="18">
        <v>0</v>
      </c>
      <c r="D92" s="18">
        <v>623</v>
      </c>
      <c r="E92" s="18">
        <v>416</v>
      </c>
      <c r="F92" s="18">
        <f t="shared" si="9"/>
        <v>1039</v>
      </c>
      <c r="G92" s="18">
        <v>0</v>
      </c>
      <c r="H92" s="18">
        <v>8</v>
      </c>
      <c r="I92" s="18">
        <v>4</v>
      </c>
      <c r="J92" s="18">
        <f t="shared" si="10"/>
        <v>0</v>
      </c>
      <c r="K92" s="18">
        <f t="shared" si="10"/>
        <v>615</v>
      </c>
      <c r="L92" s="18">
        <f t="shared" si="10"/>
        <v>412</v>
      </c>
      <c r="M92" s="18">
        <f t="shared" si="11"/>
        <v>1027</v>
      </c>
      <c r="N92" s="29">
        <f t="shared" si="12"/>
        <v>67892.617612347109</v>
      </c>
    </row>
    <row r="93" spans="1:14" x14ac:dyDescent="0.2">
      <c r="A93" s="18"/>
      <c r="B93" s="19"/>
      <c r="C93" s="18"/>
      <c r="D93" s="18"/>
      <c r="E93" s="18"/>
      <c r="F93" s="18"/>
      <c r="G93" s="18"/>
      <c r="H93" s="18"/>
      <c r="I93" s="18"/>
      <c r="J93" s="18"/>
      <c r="K93" s="18"/>
      <c r="L93" s="18"/>
      <c r="M93" s="18"/>
      <c r="N93" s="30"/>
    </row>
    <row r="94" spans="1:14" x14ac:dyDescent="0.2">
      <c r="A94" s="9" t="s">
        <v>176</v>
      </c>
      <c r="B94" s="9" t="s">
        <v>176</v>
      </c>
      <c r="C94" s="9">
        <f t="shared" ref="C94:N94" si="13">SUM(C80:C93)</f>
        <v>0</v>
      </c>
      <c r="D94" s="9">
        <f t="shared" si="13"/>
        <v>7906</v>
      </c>
      <c r="E94" s="9">
        <f t="shared" si="13"/>
        <v>5423</v>
      </c>
      <c r="F94" s="9">
        <f t="shared" si="13"/>
        <v>13329</v>
      </c>
      <c r="G94" s="9">
        <f t="shared" si="13"/>
        <v>0</v>
      </c>
      <c r="H94" s="9">
        <f t="shared" si="13"/>
        <v>50</v>
      </c>
      <c r="I94" s="9">
        <f t="shared" si="13"/>
        <v>29</v>
      </c>
      <c r="J94" s="9">
        <f t="shared" si="13"/>
        <v>0</v>
      </c>
      <c r="K94" s="9">
        <f t="shared" si="13"/>
        <v>7856</v>
      </c>
      <c r="L94" s="9">
        <f t="shared" si="13"/>
        <v>5394</v>
      </c>
      <c r="M94" s="9">
        <f t="shared" si="13"/>
        <v>13250</v>
      </c>
      <c r="N94" s="9">
        <f t="shared" si="13"/>
        <v>875927.15030535473</v>
      </c>
    </row>
    <row r="95" spans="1:14" x14ac:dyDescent="0.2">
      <c r="A95" s="18"/>
      <c r="B95" s="19"/>
      <c r="C95" s="18"/>
      <c r="D95" s="18"/>
      <c r="E95" s="18"/>
      <c r="F95" s="18"/>
      <c r="G95" s="18"/>
      <c r="H95" s="18"/>
      <c r="I95" s="18"/>
      <c r="J95" s="18"/>
      <c r="K95" s="18"/>
      <c r="L95" s="18"/>
      <c r="M95" s="18"/>
      <c r="N95" s="30"/>
    </row>
    <row r="96" spans="1:14" x14ac:dyDescent="0.2">
      <c r="A96" s="9" t="s">
        <v>177</v>
      </c>
      <c r="B96" s="9" t="s">
        <v>178</v>
      </c>
      <c r="C96" s="9">
        <f t="shared" ref="C96:N96" si="14">SUM(C94,C78)</f>
        <v>20607</v>
      </c>
      <c r="D96" s="9">
        <f t="shared" si="14"/>
        <v>7906</v>
      </c>
      <c r="E96" s="9">
        <f t="shared" si="14"/>
        <v>5423</v>
      </c>
      <c r="F96" s="9">
        <f t="shared" si="14"/>
        <v>33936</v>
      </c>
      <c r="G96" s="9">
        <f t="shared" si="14"/>
        <v>107</v>
      </c>
      <c r="H96" s="9">
        <f t="shared" si="14"/>
        <v>50</v>
      </c>
      <c r="I96" s="9">
        <f t="shared" si="14"/>
        <v>29</v>
      </c>
      <c r="J96" s="9">
        <f t="shared" si="14"/>
        <v>20500</v>
      </c>
      <c r="K96" s="9">
        <f t="shared" si="14"/>
        <v>7856</v>
      </c>
      <c r="L96" s="9">
        <f t="shared" si="14"/>
        <v>5394</v>
      </c>
      <c r="M96" s="9">
        <f t="shared" si="14"/>
        <v>33750</v>
      </c>
      <c r="N96" s="9">
        <f t="shared" si="14"/>
        <v>2372702.1187023185</v>
      </c>
    </row>
    <row r="97" spans="1:14" x14ac:dyDescent="0.2">
      <c r="A97" s="9"/>
      <c r="B97" s="9"/>
      <c r="C97" s="9"/>
      <c r="D97" s="9"/>
      <c r="E97" s="9"/>
      <c r="F97" s="9"/>
      <c r="G97" s="9"/>
      <c r="H97" s="9"/>
      <c r="I97" s="9"/>
      <c r="J97" s="9"/>
      <c r="K97" s="9"/>
      <c r="L97" s="9"/>
      <c r="M97" s="9"/>
      <c r="N97" s="9"/>
    </row>
    <row r="98" spans="1:14" x14ac:dyDescent="0.2">
      <c r="A98" s="22" t="s">
        <v>179</v>
      </c>
      <c r="B98" s="23"/>
      <c r="C98" s="24"/>
      <c r="D98" s="24"/>
      <c r="E98" s="24"/>
      <c r="F98" s="24"/>
      <c r="G98" s="24"/>
      <c r="H98" s="24"/>
      <c r="I98" s="24"/>
      <c r="J98" s="24"/>
      <c r="K98" s="24"/>
      <c r="L98" s="24"/>
      <c r="M98" s="24"/>
      <c r="N98" s="31">
        <f>N96-N94-N78</f>
        <v>0</v>
      </c>
    </row>
    <row r="106" spans="1:14" x14ac:dyDescent="0.2">
      <c r="D106" s="10"/>
      <c r="F106" s="10"/>
      <c r="H106" s="10"/>
      <c r="J106" s="10"/>
      <c r="L106" s="10"/>
      <c r="N106" s="30"/>
    </row>
  </sheetData>
  <sheetProtection password="EF5C" sheet="1" objects="1" scenarios="1" selectLockedCells="1" selectUn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8"/>
  <sheetViews>
    <sheetView workbookViewId="0">
      <pane xSplit="2" ySplit="6" topLeftCell="H7" activePane="bottomRight" state="frozen"/>
      <selection activeCell="A21" sqref="A21"/>
      <selection pane="topRight" activeCell="A21" sqref="A21"/>
      <selection pane="bottomLeft" activeCell="A21" sqref="A21"/>
      <selection pane="bottomRight" sqref="A1:XFD1048576"/>
    </sheetView>
  </sheetViews>
  <sheetFormatPr defaultRowHeight="12.75" x14ac:dyDescent="0.2"/>
  <cols>
    <col min="1" max="1" width="52.42578125" style="20" bestFit="1" customWidth="1"/>
    <col min="2" max="2" width="17.140625" style="10" bestFit="1" customWidth="1"/>
    <col min="3" max="3" width="13.7109375" style="20" customWidth="1"/>
    <col min="4" max="4" width="13" style="37" bestFit="1" customWidth="1"/>
    <col min="5" max="5" width="12" style="37" bestFit="1" customWidth="1"/>
    <col min="6" max="6" width="17.28515625" style="37" bestFit="1" customWidth="1"/>
    <col min="7" max="7" width="11.85546875" style="37" bestFit="1" customWidth="1"/>
    <col min="8" max="8" width="11.42578125" style="37" bestFit="1" customWidth="1"/>
    <col min="9" max="12" width="9.140625" style="37"/>
    <col min="13" max="13" width="10.140625" style="37" bestFit="1" customWidth="1"/>
    <col min="14" max="14" width="2.85546875" customWidth="1"/>
    <col min="15" max="16" width="9.140625" style="37"/>
    <col min="17" max="17" width="10.140625" style="303" bestFit="1" customWidth="1"/>
    <col min="19" max="19" width="10.140625" bestFit="1" customWidth="1"/>
  </cols>
  <sheetData>
    <row r="1" spans="1:19" x14ac:dyDescent="0.2">
      <c r="A1" s="9" t="s">
        <v>137</v>
      </c>
      <c r="C1" s="12" t="s">
        <v>5</v>
      </c>
      <c r="D1" s="182">
        <v>265</v>
      </c>
      <c r="E1" s="225">
        <v>32.83</v>
      </c>
      <c r="F1" s="225">
        <v>60.904873312311885</v>
      </c>
      <c r="G1" s="182">
        <f>SUM(D1:F1)</f>
        <v>358.73487331231189</v>
      </c>
      <c r="I1" s="37">
        <v>1657</v>
      </c>
      <c r="J1" s="37">
        <v>927.15</v>
      </c>
      <c r="K1" s="37">
        <v>932.68</v>
      </c>
      <c r="L1" s="37">
        <v>1469</v>
      </c>
    </row>
    <row r="2" spans="1:19" x14ac:dyDescent="0.2">
      <c r="A2" s="9" t="s">
        <v>138</v>
      </c>
      <c r="C2" s="12" t="s">
        <v>7</v>
      </c>
      <c r="D2" s="182">
        <v>265</v>
      </c>
      <c r="E2" s="182">
        <v>85.634799999999998</v>
      </c>
      <c r="F2" s="225">
        <v>60.904873312311885</v>
      </c>
      <c r="G2" s="182">
        <f>SUM(D2:F2)</f>
        <v>411.53967331231189</v>
      </c>
      <c r="K2" s="37">
        <v>2738.7</v>
      </c>
      <c r="L2" s="37">
        <v>2474.2199999999998</v>
      </c>
    </row>
    <row r="3" spans="1:19" x14ac:dyDescent="0.2">
      <c r="A3" s="9" t="s">
        <v>139</v>
      </c>
      <c r="C3" s="12"/>
      <c r="E3" s="18"/>
      <c r="F3" s="18"/>
    </row>
    <row r="4" spans="1:19" x14ac:dyDescent="0.2">
      <c r="A4" s="9" t="s">
        <v>140</v>
      </c>
      <c r="C4" s="11"/>
      <c r="E4" s="18"/>
      <c r="F4" s="18"/>
    </row>
    <row r="5" spans="1:19" x14ac:dyDescent="0.2">
      <c r="A5" s="9"/>
      <c r="C5" s="11"/>
      <c r="H5" s="37">
        <v>40</v>
      </c>
      <c r="I5" s="37">
        <v>100</v>
      </c>
      <c r="J5" s="37">
        <v>40</v>
      </c>
      <c r="K5" s="37">
        <v>45</v>
      </c>
      <c r="L5" s="37">
        <v>100</v>
      </c>
    </row>
    <row r="6" spans="1:19" ht="38.25" x14ac:dyDescent="0.2">
      <c r="A6" s="25" t="s">
        <v>180</v>
      </c>
      <c r="B6" s="15" t="s">
        <v>181</v>
      </c>
      <c r="C6" s="14" t="s">
        <v>146</v>
      </c>
      <c r="D6" s="304" t="s">
        <v>352</v>
      </c>
      <c r="E6" s="304" t="s">
        <v>353</v>
      </c>
      <c r="F6" s="304" t="s">
        <v>354</v>
      </c>
      <c r="G6" s="304" t="s">
        <v>355</v>
      </c>
      <c r="H6" s="304" t="s">
        <v>356</v>
      </c>
      <c r="I6" s="304" t="s">
        <v>357</v>
      </c>
      <c r="J6" s="304" t="s">
        <v>358</v>
      </c>
      <c r="K6" s="14" t="s">
        <v>359</v>
      </c>
      <c r="L6" s="14" t="s">
        <v>360</v>
      </c>
      <c r="M6" s="14" t="s">
        <v>291</v>
      </c>
      <c r="N6" s="305"/>
      <c r="O6" s="14" t="s">
        <v>361</v>
      </c>
      <c r="P6" s="14" t="s">
        <v>362</v>
      </c>
      <c r="Q6" s="306" t="s">
        <v>363</v>
      </c>
      <c r="R6" t="s">
        <v>259</v>
      </c>
    </row>
    <row r="7" spans="1:19" x14ac:dyDescent="0.2">
      <c r="A7" s="18" t="s">
        <v>44</v>
      </c>
      <c r="B7" s="19">
        <v>2400</v>
      </c>
      <c r="C7" s="18">
        <v>323</v>
      </c>
      <c r="D7" s="37">
        <v>85595</v>
      </c>
      <c r="E7" s="37">
        <v>10604.09</v>
      </c>
      <c r="F7" s="37">
        <v>19672.274079876737</v>
      </c>
      <c r="G7" s="37">
        <f>SUM(D7:F7)</f>
        <v>115871.36407987673</v>
      </c>
      <c r="H7" s="37">
        <v>190692.40731065918</v>
      </c>
      <c r="I7" s="37">
        <v>3486.7166123778502</v>
      </c>
      <c r="J7" s="37">
        <v>0</v>
      </c>
      <c r="K7" s="18">
        <v>19876.076999999936</v>
      </c>
      <c r="L7" s="18">
        <v>23063.300000000076</v>
      </c>
      <c r="M7" s="18">
        <f>SUM(G7+H7+I7+J7+K7+L7)</f>
        <v>352989.86500291375</v>
      </c>
      <c r="O7" s="37">
        <f>SUM(M7/9000*3000)</f>
        <v>117663.28833430458</v>
      </c>
      <c r="P7" s="37">
        <f>SUM(M7/9000*1500)</f>
        <v>58831.644167152292</v>
      </c>
      <c r="Q7" s="303">
        <f>SUM(M7/9000*1650)</f>
        <v>64714.808583867518</v>
      </c>
      <c r="R7" t="s">
        <v>364</v>
      </c>
      <c r="S7" s="37"/>
    </row>
    <row r="8" spans="1:19" x14ac:dyDescent="0.2">
      <c r="A8" s="18" t="s">
        <v>45</v>
      </c>
      <c r="B8" s="19">
        <v>2443</v>
      </c>
      <c r="C8" s="18">
        <v>259</v>
      </c>
      <c r="D8" s="37">
        <v>68635</v>
      </c>
      <c r="E8" s="37">
        <v>8502.9699999999993</v>
      </c>
      <c r="F8" s="37">
        <v>15774.362187888779</v>
      </c>
      <c r="G8" s="37">
        <f t="shared" ref="G8:G71" si="0">SUM(D8:F8)</f>
        <v>92912.33218788878</v>
      </c>
      <c r="H8" s="37">
        <v>52366.591063400032</v>
      </c>
      <c r="I8" s="37">
        <v>1589.4925925925927</v>
      </c>
      <c r="J8" s="37">
        <v>0</v>
      </c>
      <c r="K8" s="18">
        <v>3664.1748539325808</v>
      </c>
      <c r="L8" s="18">
        <v>0</v>
      </c>
      <c r="M8" s="18">
        <f t="shared" ref="M8:M71" si="1">SUM(G8+H8+I8+J8+K8+L8)</f>
        <v>150532.59069781401</v>
      </c>
      <c r="O8" s="37">
        <f t="shared" ref="O8:O71" si="2">SUM(M8/9000*3000)</f>
        <v>50177.530232604666</v>
      </c>
      <c r="P8" s="37">
        <f t="shared" ref="P8:P71" si="3">SUM(M8/9000*1500)</f>
        <v>25088.765116302333</v>
      </c>
      <c r="Q8" s="303">
        <f t="shared" ref="Q8:Q71" si="4">SUM(M8/9000*1650)</f>
        <v>27597.641627932568</v>
      </c>
      <c r="R8" t="s">
        <v>365</v>
      </c>
      <c r="S8" s="37"/>
    </row>
    <row r="9" spans="1:19" x14ac:dyDescent="0.2">
      <c r="A9" s="18" t="s">
        <v>155</v>
      </c>
      <c r="B9" s="19">
        <v>2442</v>
      </c>
      <c r="C9" s="18">
        <v>294</v>
      </c>
      <c r="D9" s="37">
        <v>77910</v>
      </c>
      <c r="E9" s="37">
        <v>9652.0199999999986</v>
      </c>
      <c r="F9" s="37">
        <v>17906.032753819694</v>
      </c>
      <c r="G9" s="37">
        <f t="shared" si="0"/>
        <v>105468.05275381971</v>
      </c>
      <c r="H9" s="37">
        <v>82814.578756164949</v>
      </c>
      <c r="I9" s="37">
        <v>0</v>
      </c>
      <c r="J9" s="37">
        <v>0</v>
      </c>
      <c r="K9" s="18">
        <v>2822.7285882352994</v>
      </c>
      <c r="L9" s="18">
        <v>0</v>
      </c>
      <c r="M9" s="18">
        <f t="shared" si="1"/>
        <v>191105.36009821997</v>
      </c>
      <c r="O9" s="37">
        <f t="shared" si="2"/>
        <v>63701.786699406657</v>
      </c>
      <c r="P9" s="37">
        <f t="shared" si="3"/>
        <v>31850.893349703329</v>
      </c>
      <c r="Q9" s="303">
        <f t="shared" si="4"/>
        <v>35035.982684673661</v>
      </c>
      <c r="R9" t="s">
        <v>366</v>
      </c>
      <c r="S9" s="37"/>
    </row>
    <row r="10" spans="1:19" x14ac:dyDescent="0.2">
      <c r="A10" s="18" t="s">
        <v>47</v>
      </c>
      <c r="B10" s="19">
        <v>2629</v>
      </c>
      <c r="C10" s="18">
        <v>401</v>
      </c>
      <c r="D10" s="37">
        <v>106265</v>
      </c>
      <c r="E10" s="37">
        <v>13164.83</v>
      </c>
      <c r="F10" s="37">
        <v>24422.854198237066</v>
      </c>
      <c r="G10" s="37">
        <f t="shared" si="0"/>
        <v>143852.68419823708</v>
      </c>
      <c r="H10" s="37">
        <v>141128.96942761596</v>
      </c>
      <c r="I10" s="37">
        <v>0</v>
      </c>
      <c r="J10" s="37">
        <v>0</v>
      </c>
      <c r="K10" s="18">
        <v>90781.13596363629</v>
      </c>
      <c r="L10" s="18">
        <v>36853.085221674984</v>
      </c>
      <c r="M10" s="18">
        <f t="shared" si="1"/>
        <v>412615.87481116428</v>
      </c>
      <c r="O10" s="37">
        <f t="shared" si="2"/>
        <v>137538.62493705476</v>
      </c>
      <c r="P10" s="37">
        <f t="shared" si="3"/>
        <v>68769.31246852738</v>
      </c>
      <c r="Q10" s="303">
        <f t="shared" si="4"/>
        <v>75646.243715380115</v>
      </c>
      <c r="R10" t="s">
        <v>367</v>
      </c>
      <c r="S10" s="37"/>
    </row>
    <row r="11" spans="1:19" x14ac:dyDescent="0.2">
      <c r="A11" s="18" t="s">
        <v>48</v>
      </c>
      <c r="B11" s="19">
        <v>2509</v>
      </c>
      <c r="C11" s="18">
        <v>188</v>
      </c>
      <c r="D11" s="37">
        <v>49820</v>
      </c>
      <c r="E11" s="37">
        <v>6172.04</v>
      </c>
      <c r="F11" s="37">
        <v>11450.116182714635</v>
      </c>
      <c r="G11" s="37">
        <f t="shared" si="0"/>
        <v>67442.156182714636</v>
      </c>
      <c r="H11" s="37">
        <v>42361.919084836991</v>
      </c>
      <c r="I11" s="37">
        <v>4867.4375</v>
      </c>
      <c r="J11" s="37">
        <v>0</v>
      </c>
      <c r="K11" s="18">
        <v>11202.523111111088</v>
      </c>
      <c r="L11" s="18">
        <v>14983.799999999952</v>
      </c>
      <c r="M11" s="18">
        <f t="shared" si="1"/>
        <v>140857.83587866268</v>
      </c>
      <c r="O11" s="37">
        <f t="shared" si="2"/>
        <v>46952.611959554226</v>
      </c>
      <c r="P11" s="37">
        <f t="shared" si="3"/>
        <v>23476.305979777113</v>
      </c>
      <c r="Q11" s="303">
        <f t="shared" si="4"/>
        <v>25823.936577754823</v>
      </c>
      <c r="R11" t="s">
        <v>368</v>
      </c>
      <c r="S11" s="37"/>
    </row>
    <row r="12" spans="1:19" x14ac:dyDescent="0.2">
      <c r="A12" s="18" t="s">
        <v>49</v>
      </c>
      <c r="B12" s="19">
        <v>2005</v>
      </c>
      <c r="C12" s="18">
        <v>300</v>
      </c>
      <c r="D12" s="37">
        <v>79500</v>
      </c>
      <c r="E12" s="37">
        <v>9849</v>
      </c>
      <c r="F12" s="37">
        <v>18271.461993693567</v>
      </c>
      <c r="G12" s="37">
        <f t="shared" si="0"/>
        <v>107620.46199369356</v>
      </c>
      <c r="H12" s="37">
        <v>114688.8687625649</v>
      </c>
      <c r="I12" s="37">
        <v>3314</v>
      </c>
      <c r="J12" s="37">
        <v>0</v>
      </c>
      <c r="K12" s="18">
        <v>8665.9943319838058</v>
      </c>
      <c r="L12" s="18">
        <v>10282.999999999853</v>
      </c>
      <c r="M12" s="18">
        <f t="shared" si="1"/>
        <v>244572.3250882421</v>
      </c>
      <c r="O12" s="37">
        <f t="shared" si="2"/>
        <v>81524.108362747356</v>
      </c>
      <c r="P12" s="37">
        <f t="shared" si="3"/>
        <v>40762.054181373678</v>
      </c>
      <c r="Q12" s="303">
        <f t="shared" si="4"/>
        <v>44838.259599511046</v>
      </c>
      <c r="R12" t="s">
        <v>369</v>
      </c>
      <c r="S12" s="37"/>
    </row>
    <row r="13" spans="1:19" x14ac:dyDescent="0.2">
      <c r="A13" s="18" t="s">
        <v>50</v>
      </c>
      <c r="B13" s="19">
        <v>2464</v>
      </c>
      <c r="C13" s="18">
        <v>186</v>
      </c>
      <c r="D13" s="37">
        <v>49290</v>
      </c>
      <c r="E13" s="37">
        <v>6106.38</v>
      </c>
      <c r="F13" s="37">
        <v>11328.30643609001</v>
      </c>
      <c r="G13" s="37">
        <f t="shared" si="0"/>
        <v>66724.686436090007</v>
      </c>
      <c r="H13" s="37">
        <v>40842.482646959834</v>
      </c>
      <c r="I13" s="37">
        <v>1802.3508771929821</v>
      </c>
      <c r="J13" s="37">
        <v>0</v>
      </c>
      <c r="K13" s="18">
        <v>503.64720000000028</v>
      </c>
      <c r="L13" s="18">
        <v>0</v>
      </c>
      <c r="M13" s="18">
        <f t="shared" si="1"/>
        <v>109873.16716024283</v>
      </c>
      <c r="O13" s="37">
        <f t="shared" si="2"/>
        <v>36624.389053414277</v>
      </c>
      <c r="P13" s="37">
        <f t="shared" si="3"/>
        <v>18312.194526707139</v>
      </c>
      <c r="Q13" s="303">
        <f t="shared" si="4"/>
        <v>20143.413979377852</v>
      </c>
      <c r="R13" t="s">
        <v>370</v>
      </c>
      <c r="S13" s="37"/>
    </row>
    <row r="14" spans="1:19" x14ac:dyDescent="0.2">
      <c r="A14" s="18" t="s">
        <v>51</v>
      </c>
      <c r="B14" s="19">
        <v>2004</v>
      </c>
      <c r="C14" s="18">
        <v>265</v>
      </c>
      <c r="D14" s="37">
        <v>70225</v>
      </c>
      <c r="E14" s="37">
        <v>8699.9499999999989</v>
      </c>
      <c r="F14" s="37">
        <v>16139.79142776265</v>
      </c>
      <c r="G14" s="37">
        <f t="shared" si="0"/>
        <v>95064.741427762652</v>
      </c>
      <c r="H14" s="37">
        <v>149610.19593713057</v>
      </c>
      <c r="I14" s="37">
        <v>3555.5060728744938</v>
      </c>
      <c r="J14" s="37">
        <v>0</v>
      </c>
      <c r="K14" s="18">
        <v>1537.632580645158</v>
      </c>
      <c r="L14" s="18">
        <v>11017.500000000062</v>
      </c>
      <c r="M14" s="18">
        <f t="shared" si="1"/>
        <v>260785.57601841292</v>
      </c>
      <c r="O14" s="37">
        <f t="shared" si="2"/>
        <v>86928.525339470973</v>
      </c>
      <c r="P14" s="37">
        <f t="shared" si="3"/>
        <v>43464.262669735486</v>
      </c>
      <c r="Q14" s="303">
        <f t="shared" si="4"/>
        <v>47810.688936709033</v>
      </c>
      <c r="R14" t="s">
        <v>371</v>
      </c>
      <c r="S14" s="37"/>
    </row>
    <row r="15" spans="1:19" x14ac:dyDescent="0.2">
      <c r="A15" s="18" t="s">
        <v>52</v>
      </c>
      <c r="B15" s="19">
        <v>2405</v>
      </c>
      <c r="C15" s="18">
        <v>196</v>
      </c>
      <c r="D15" s="37">
        <v>51940</v>
      </c>
      <c r="E15" s="37">
        <v>6434.6799999999994</v>
      </c>
      <c r="F15" s="37">
        <v>11937.35516921313</v>
      </c>
      <c r="G15" s="37">
        <f t="shared" si="0"/>
        <v>70312.035169213137</v>
      </c>
      <c r="H15" s="37">
        <v>82601.035840280529</v>
      </c>
      <c r="I15" s="37">
        <v>1718.3703703703702</v>
      </c>
      <c r="J15" s="37">
        <v>0</v>
      </c>
      <c r="K15" s="18">
        <v>19242.661052631596</v>
      </c>
      <c r="L15" s="18">
        <v>9692.4910891090076</v>
      </c>
      <c r="M15" s="18">
        <f t="shared" si="1"/>
        <v>183566.59352160463</v>
      </c>
      <c r="O15" s="37">
        <f t="shared" si="2"/>
        <v>61188.864507201542</v>
      </c>
      <c r="P15" s="37">
        <f t="shared" si="3"/>
        <v>30594.432253600771</v>
      </c>
      <c r="Q15" s="303">
        <f t="shared" si="4"/>
        <v>33653.87547896085</v>
      </c>
      <c r="R15" t="s">
        <v>372</v>
      </c>
      <c r="S15" s="37"/>
    </row>
    <row r="16" spans="1:19" x14ac:dyDescent="0.2">
      <c r="A16" s="18" t="s">
        <v>156</v>
      </c>
      <c r="B16" s="19">
        <v>3525</v>
      </c>
      <c r="C16" s="18">
        <v>209</v>
      </c>
      <c r="D16" s="37">
        <v>55385</v>
      </c>
      <c r="E16" s="37">
        <v>6861.4699999999993</v>
      </c>
      <c r="F16" s="37">
        <v>12729.118522273184</v>
      </c>
      <c r="G16" s="37">
        <f t="shared" si="0"/>
        <v>74975.588522273189</v>
      </c>
      <c r="H16" s="37">
        <v>55044.092731465149</v>
      </c>
      <c r="I16" s="37">
        <v>0</v>
      </c>
      <c r="J16" s="37">
        <v>0</v>
      </c>
      <c r="K16" s="18">
        <v>6370.6212402234678</v>
      </c>
      <c r="L16" s="18">
        <v>0</v>
      </c>
      <c r="M16" s="18">
        <f t="shared" si="1"/>
        <v>136390.30249396182</v>
      </c>
      <c r="O16" s="37">
        <f t="shared" si="2"/>
        <v>45463.43416465394</v>
      </c>
      <c r="P16" s="37">
        <f t="shared" si="3"/>
        <v>22731.71708232697</v>
      </c>
      <c r="Q16" s="303">
        <f t="shared" si="4"/>
        <v>25004.888790559668</v>
      </c>
      <c r="R16" t="s">
        <v>373</v>
      </c>
      <c r="S16" s="37"/>
    </row>
    <row r="17" spans="1:19" x14ac:dyDescent="0.2">
      <c r="A17" s="18" t="s">
        <v>54</v>
      </c>
      <c r="B17" s="19">
        <v>5201</v>
      </c>
      <c r="C17" s="18">
        <v>392</v>
      </c>
      <c r="D17" s="37">
        <v>103880</v>
      </c>
      <c r="E17" s="37">
        <v>12869.359999999999</v>
      </c>
      <c r="F17" s="37">
        <v>23874.710338426259</v>
      </c>
      <c r="G17" s="37">
        <f t="shared" si="0"/>
        <v>140624.07033842627</v>
      </c>
      <c r="H17" s="37">
        <v>35344.128184754481</v>
      </c>
      <c r="I17" s="37">
        <v>0</v>
      </c>
      <c r="J17" s="37">
        <v>0</v>
      </c>
      <c r="K17" s="18">
        <v>0</v>
      </c>
      <c r="L17" s="18">
        <v>0</v>
      </c>
      <c r="M17" s="18">
        <f t="shared" si="1"/>
        <v>175968.19852318076</v>
      </c>
      <c r="O17" s="37">
        <f t="shared" si="2"/>
        <v>58656.066174393593</v>
      </c>
      <c r="P17" s="37">
        <f t="shared" si="3"/>
        <v>29328.033087196796</v>
      </c>
      <c r="Q17" s="303">
        <f t="shared" si="4"/>
        <v>32260.836395916474</v>
      </c>
      <c r="R17" t="s">
        <v>374</v>
      </c>
      <c r="S17" s="37"/>
    </row>
    <row r="18" spans="1:19" x14ac:dyDescent="0.2">
      <c r="A18" s="18" t="s">
        <v>157</v>
      </c>
      <c r="B18" s="19">
        <v>2007</v>
      </c>
      <c r="C18" s="18">
        <v>259</v>
      </c>
      <c r="D18" s="37">
        <v>68635</v>
      </c>
      <c r="E18" s="37">
        <v>8502.9699999999993</v>
      </c>
      <c r="F18" s="37">
        <v>15774.362187888779</v>
      </c>
      <c r="G18" s="37">
        <f t="shared" si="0"/>
        <v>92912.33218788878</v>
      </c>
      <c r="H18" s="37">
        <v>118927.02768453892</v>
      </c>
      <c r="I18" s="37">
        <v>3460.9919354838712</v>
      </c>
      <c r="J18" s="37">
        <v>0</v>
      </c>
      <c r="K18" s="18">
        <v>16953.812091743162</v>
      </c>
      <c r="L18" s="18">
        <v>0</v>
      </c>
      <c r="M18" s="18">
        <f t="shared" si="1"/>
        <v>232254.16389965476</v>
      </c>
      <c r="O18" s="37">
        <f t="shared" si="2"/>
        <v>77418.054633218257</v>
      </c>
      <c r="P18" s="37">
        <f t="shared" si="3"/>
        <v>38709.027316609128</v>
      </c>
      <c r="Q18" s="303">
        <f t="shared" si="4"/>
        <v>42579.930048270035</v>
      </c>
      <c r="R18" t="s">
        <v>375</v>
      </c>
      <c r="S18" s="37"/>
    </row>
    <row r="19" spans="1:19" x14ac:dyDescent="0.2">
      <c r="A19" s="18" t="s">
        <v>56</v>
      </c>
      <c r="B19" s="19">
        <v>2433</v>
      </c>
      <c r="C19" s="18">
        <v>169</v>
      </c>
      <c r="D19" s="37">
        <v>44785</v>
      </c>
      <c r="E19" s="37">
        <v>5548.2699999999995</v>
      </c>
      <c r="F19" s="37">
        <v>10292.923589780708</v>
      </c>
      <c r="G19" s="37">
        <f t="shared" si="0"/>
        <v>60626.193589780705</v>
      </c>
      <c r="H19" s="37">
        <v>53659.358838544205</v>
      </c>
      <c r="I19" s="37">
        <v>0</v>
      </c>
      <c r="J19" s="37">
        <v>0</v>
      </c>
      <c r="K19" s="18">
        <v>5585.0640944881916</v>
      </c>
      <c r="L19" s="18">
        <v>0</v>
      </c>
      <c r="M19" s="18">
        <f t="shared" si="1"/>
        <v>119870.6165228131</v>
      </c>
      <c r="O19" s="37">
        <f t="shared" si="2"/>
        <v>39956.872174271033</v>
      </c>
      <c r="P19" s="37">
        <f t="shared" si="3"/>
        <v>19978.436087135517</v>
      </c>
      <c r="Q19" s="303">
        <f t="shared" si="4"/>
        <v>21976.279695849069</v>
      </c>
      <c r="R19" t="s">
        <v>376</v>
      </c>
      <c r="S19" s="37"/>
    </row>
    <row r="20" spans="1:19" x14ac:dyDescent="0.2">
      <c r="A20" s="18" t="s">
        <v>57</v>
      </c>
      <c r="B20" s="19">
        <v>2432</v>
      </c>
      <c r="C20" s="18">
        <v>199</v>
      </c>
      <c r="D20" s="37">
        <v>52735</v>
      </c>
      <c r="E20" s="37">
        <v>6533.17</v>
      </c>
      <c r="F20" s="37">
        <v>12120.069789150066</v>
      </c>
      <c r="G20" s="37">
        <f t="shared" si="0"/>
        <v>71388.239789150059</v>
      </c>
      <c r="H20" s="37">
        <v>69523.741630137185</v>
      </c>
      <c r="I20" s="37">
        <v>2770.9495798319326</v>
      </c>
      <c r="J20" s="37">
        <v>0</v>
      </c>
      <c r="K20" s="18">
        <v>361.56490909090917</v>
      </c>
      <c r="L20" s="18">
        <v>0</v>
      </c>
      <c r="M20" s="18">
        <f t="shared" si="1"/>
        <v>144044.49590821008</v>
      </c>
      <c r="O20" s="37">
        <f t="shared" si="2"/>
        <v>48014.831969403363</v>
      </c>
      <c r="P20" s="37">
        <f t="shared" si="3"/>
        <v>24007.415984701682</v>
      </c>
      <c r="Q20" s="303">
        <f t="shared" si="4"/>
        <v>26408.157583171847</v>
      </c>
      <c r="R20" t="s">
        <v>377</v>
      </c>
      <c r="S20" s="37"/>
    </row>
    <row r="21" spans="1:19" x14ac:dyDescent="0.2">
      <c r="A21" s="18" t="s">
        <v>58</v>
      </c>
      <c r="B21" s="19">
        <v>2446</v>
      </c>
      <c r="C21" s="18">
        <v>177</v>
      </c>
      <c r="D21" s="37">
        <v>46905</v>
      </c>
      <c r="E21" s="37">
        <v>5810.91</v>
      </c>
      <c r="F21" s="37">
        <v>10780.162576279203</v>
      </c>
      <c r="G21" s="37">
        <f t="shared" si="0"/>
        <v>63496.072576279206</v>
      </c>
      <c r="H21" s="37">
        <v>44699.632983626019</v>
      </c>
      <c r="I21" s="37">
        <v>1715.1403508771928</v>
      </c>
      <c r="J21" s="37">
        <v>0</v>
      </c>
      <c r="K21" s="18">
        <v>5864.839105263155</v>
      </c>
      <c r="L21" s="18">
        <v>0</v>
      </c>
      <c r="M21" s="18">
        <f t="shared" si="1"/>
        <v>115775.68501604557</v>
      </c>
      <c r="O21" s="37">
        <f t="shared" si="2"/>
        <v>38591.895005348524</v>
      </c>
      <c r="P21" s="37">
        <f t="shared" si="3"/>
        <v>19295.947502674262</v>
      </c>
      <c r="Q21" s="303">
        <f t="shared" si="4"/>
        <v>21225.542252941686</v>
      </c>
      <c r="R21" t="s">
        <v>378</v>
      </c>
      <c r="S21" s="37"/>
    </row>
    <row r="22" spans="1:19" x14ac:dyDescent="0.2">
      <c r="A22" s="18" t="s">
        <v>59</v>
      </c>
      <c r="B22" s="19">
        <v>2447</v>
      </c>
      <c r="C22" s="18">
        <v>225</v>
      </c>
      <c r="D22" s="37">
        <v>59625</v>
      </c>
      <c r="E22" s="37">
        <v>7386.75</v>
      </c>
      <c r="F22" s="37">
        <v>13703.596495270174</v>
      </c>
      <c r="G22" s="37">
        <f t="shared" si="0"/>
        <v>80715.346495270176</v>
      </c>
      <c r="H22" s="37">
        <v>67248.426629677051</v>
      </c>
      <c r="I22" s="37">
        <v>1775.3571428571431</v>
      </c>
      <c r="J22" s="37">
        <v>0</v>
      </c>
      <c r="K22" s="18">
        <v>4616.7660000000005</v>
      </c>
      <c r="L22" s="18">
        <v>0</v>
      </c>
      <c r="M22" s="18">
        <f t="shared" si="1"/>
        <v>154355.89626780435</v>
      </c>
      <c r="O22" s="37">
        <f t="shared" si="2"/>
        <v>51451.965422601454</v>
      </c>
      <c r="P22" s="37">
        <f t="shared" si="3"/>
        <v>25725.982711300727</v>
      </c>
      <c r="Q22" s="303">
        <f t="shared" si="4"/>
        <v>28298.580982430798</v>
      </c>
      <c r="R22" t="s">
        <v>378</v>
      </c>
      <c r="S22" s="37"/>
    </row>
    <row r="23" spans="1:19" x14ac:dyDescent="0.2">
      <c r="A23" s="18" t="s">
        <v>60</v>
      </c>
      <c r="B23" s="19">
        <v>2512</v>
      </c>
      <c r="C23" s="18">
        <v>208</v>
      </c>
      <c r="D23" s="37">
        <v>55120</v>
      </c>
      <c r="E23" s="37">
        <v>6828.6399999999994</v>
      </c>
      <c r="F23" s="37">
        <v>12668.213648960873</v>
      </c>
      <c r="G23" s="37">
        <f t="shared" si="0"/>
        <v>74616.853648960867</v>
      </c>
      <c r="H23" s="37">
        <v>18691.56323918371</v>
      </c>
      <c r="I23" s="37">
        <v>0</v>
      </c>
      <c r="J23" s="37">
        <v>0</v>
      </c>
      <c r="K23" s="18">
        <v>10241.764290502797</v>
      </c>
      <c r="L23" s="18">
        <v>0</v>
      </c>
      <c r="M23" s="18">
        <f t="shared" si="1"/>
        <v>103550.18117864738</v>
      </c>
      <c r="O23" s="37">
        <f t="shared" si="2"/>
        <v>34516.727059549128</v>
      </c>
      <c r="P23" s="37">
        <f t="shared" si="3"/>
        <v>17258.363529774564</v>
      </c>
      <c r="Q23" s="303">
        <f t="shared" si="4"/>
        <v>18984.199882752022</v>
      </c>
      <c r="R23" t="s">
        <v>379</v>
      </c>
      <c r="S23" s="37"/>
    </row>
    <row r="24" spans="1:19" x14ac:dyDescent="0.2">
      <c r="A24" s="18" t="s">
        <v>61</v>
      </c>
      <c r="B24" s="19">
        <v>2456</v>
      </c>
      <c r="C24" s="18">
        <v>178</v>
      </c>
      <c r="D24" s="37">
        <v>47170</v>
      </c>
      <c r="E24" s="37">
        <v>5843.74</v>
      </c>
      <c r="F24" s="37">
        <v>10841.067449591515</v>
      </c>
      <c r="G24" s="37">
        <f t="shared" si="0"/>
        <v>63854.807449591513</v>
      </c>
      <c r="H24" s="37">
        <v>8260.5332974158991</v>
      </c>
      <c r="I24" s="37">
        <v>1666.361581920904</v>
      </c>
      <c r="J24" s="37">
        <v>0</v>
      </c>
      <c r="K24" s="18">
        <v>13928.548271186462</v>
      </c>
      <c r="L24" s="18">
        <v>0</v>
      </c>
      <c r="M24" s="18">
        <f t="shared" si="1"/>
        <v>87710.250600114785</v>
      </c>
      <c r="O24" s="37">
        <f t="shared" si="2"/>
        <v>29236.750200038259</v>
      </c>
      <c r="P24" s="37">
        <f t="shared" si="3"/>
        <v>14618.37510001913</v>
      </c>
      <c r="Q24" s="303">
        <f t="shared" si="4"/>
        <v>16080.212610021043</v>
      </c>
      <c r="R24" t="s">
        <v>380</v>
      </c>
      <c r="S24" s="37"/>
    </row>
    <row r="25" spans="1:19" x14ac:dyDescent="0.2">
      <c r="A25" s="18" t="s">
        <v>62</v>
      </c>
      <c r="B25" s="19">
        <v>2449</v>
      </c>
      <c r="C25" s="18">
        <v>268</v>
      </c>
      <c r="D25" s="37">
        <v>71020</v>
      </c>
      <c r="E25" s="37">
        <v>8798.4399999999987</v>
      </c>
      <c r="F25" s="37">
        <v>16322.506047699586</v>
      </c>
      <c r="G25" s="37">
        <f t="shared" si="0"/>
        <v>96140.946047699588</v>
      </c>
      <c r="H25" s="37">
        <v>52442.284488931153</v>
      </c>
      <c r="I25" s="37">
        <v>0</v>
      </c>
      <c r="J25" s="37">
        <v>0</v>
      </c>
      <c r="K25" s="18">
        <v>2527.667595505623</v>
      </c>
      <c r="L25" s="18">
        <v>0</v>
      </c>
      <c r="M25" s="18">
        <f t="shared" si="1"/>
        <v>151110.89813213635</v>
      </c>
      <c r="O25" s="37">
        <f t="shared" si="2"/>
        <v>50370.299377378789</v>
      </c>
      <c r="P25" s="37">
        <f t="shared" si="3"/>
        <v>25185.149688689395</v>
      </c>
      <c r="Q25" s="303">
        <f t="shared" si="4"/>
        <v>27703.664657558333</v>
      </c>
      <c r="R25" t="s">
        <v>381</v>
      </c>
      <c r="S25" s="37"/>
    </row>
    <row r="26" spans="1:19" x14ac:dyDescent="0.2">
      <c r="A26" s="18" t="s">
        <v>63</v>
      </c>
      <c r="B26" s="19">
        <v>2448</v>
      </c>
      <c r="C26" s="18">
        <v>311</v>
      </c>
      <c r="D26" s="37">
        <v>82415</v>
      </c>
      <c r="E26" s="37">
        <v>10210.129999999999</v>
      </c>
      <c r="F26" s="37">
        <v>18941.415600128996</v>
      </c>
      <c r="G26" s="37">
        <f t="shared" si="0"/>
        <v>111566.545600129</v>
      </c>
      <c r="H26" s="37">
        <v>71439.425616219174</v>
      </c>
      <c r="I26" s="37">
        <v>0</v>
      </c>
      <c r="J26" s="37">
        <v>0</v>
      </c>
      <c r="K26" s="18">
        <v>2947.4192322580616</v>
      </c>
      <c r="L26" s="18">
        <v>0</v>
      </c>
      <c r="M26" s="18">
        <f t="shared" si="1"/>
        <v>185953.39044860622</v>
      </c>
      <c r="O26" s="37">
        <f t="shared" si="2"/>
        <v>61984.463482868741</v>
      </c>
      <c r="P26" s="37">
        <f t="shared" si="3"/>
        <v>30992.231741434371</v>
      </c>
      <c r="Q26" s="303">
        <f t="shared" si="4"/>
        <v>34091.454915577808</v>
      </c>
      <c r="R26" t="s">
        <v>382</v>
      </c>
      <c r="S26" s="37"/>
    </row>
    <row r="27" spans="1:19" x14ac:dyDescent="0.2">
      <c r="A27" s="18" t="s">
        <v>158</v>
      </c>
      <c r="B27" s="19">
        <v>2467</v>
      </c>
      <c r="C27" s="18">
        <v>362</v>
      </c>
      <c r="D27" s="37">
        <v>95930</v>
      </c>
      <c r="E27" s="37">
        <v>11884.46</v>
      </c>
      <c r="F27" s="37">
        <v>22047.564139056904</v>
      </c>
      <c r="G27" s="37">
        <f t="shared" si="0"/>
        <v>129862.0241390569</v>
      </c>
      <c r="H27" s="37">
        <v>73730.2408016267</v>
      </c>
      <c r="I27" s="37">
        <v>0</v>
      </c>
      <c r="J27" s="37">
        <v>0</v>
      </c>
      <c r="K27" s="18">
        <v>2969.3857719869743</v>
      </c>
      <c r="L27" s="18">
        <v>0</v>
      </c>
      <c r="M27" s="18">
        <f t="shared" si="1"/>
        <v>206561.65071267058</v>
      </c>
      <c r="O27" s="37">
        <f t="shared" si="2"/>
        <v>68853.88357089019</v>
      </c>
      <c r="P27" s="37">
        <f t="shared" si="3"/>
        <v>34426.941785445095</v>
      </c>
      <c r="Q27" s="303">
        <f t="shared" si="4"/>
        <v>37869.635963989604</v>
      </c>
      <c r="R27" t="s">
        <v>383</v>
      </c>
      <c r="S27" s="37"/>
    </row>
    <row r="28" spans="1:19" x14ac:dyDescent="0.2">
      <c r="A28" s="18" t="s">
        <v>65</v>
      </c>
      <c r="B28" s="19">
        <v>2455</v>
      </c>
      <c r="C28" s="18">
        <v>355</v>
      </c>
      <c r="D28" s="37">
        <v>94075</v>
      </c>
      <c r="E28" s="37">
        <v>11654.65</v>
      </c>
      <c r="F28" s="37">
        <v>21621.230025870718</v>
      </c>
      <c r="G28" s="37">
        <f t="shared" si="0"/>
        <v>127350.88002587072</v>
      </c>
      <c r="H28" s="37">
        <v>30036.260777052434</v>
      </c>
      <c r="I28" s="37">
        <v>3277.075208913649</v>
      </c>
      <c r="J28" s="37">
        <v>0</v>
      </c>
      <c r="K28" s="18">
        <v>7449.7815000000001</v>
      </c>
      <c r="L28" s="18">
        <v>0</v>
      </c>
      <c r="M28" s="18">
        <f t="shared" si="1"/>
        <v>168113.99751183682</v>
      </c>
      <c r="O28" s="37">
        <f t="shared" si="2"/>
        <v>56037.999170612267</v>
      </c>
      <c r="P28" s="37">
        <f t="shared" si="3"/>
        <v>28018.999585306134</v>
      </c>
      <c r="Q28" s="303">
        <f t="shared" si="4"/>
        <v>30820.899543836749</v>
      </c>
      <c r="R28" t="s">
        <v>384</v>
      </c>
      <c r="S28" s="37"/>
    </row>
    <row r="29" spans="1:19" x14ac:dyDescent="0.2">
      <c r="A29" s="18" t="s">
        <v>66</v>
      </c>
      <c r="B29" s="19">
        <v>5203</v>
      </c>
      <c r="C29" s="18">
        <v>480</v>
      </c>
      <c r="D29" s="37">
        <v>127200</v>
      </c>
      <c r="E29" s="37">
        <v>15758.4</v>
      </c>
      <c r="F29" s="37">
        <v>29234.339189909704</v>
      </c>
      <c r="G29" s="37">
        <f t="shared" si="0"/>
        <v>172192.73918990971</v>
      </c>
      <c r="H29" s="37">
        <v>54742.66011812396</v>
      </c>
      <c r="I29" s="37">
        <v>1653.5550935550937</v>
      </c>
      <c r="J29" s="37">
        <v>0</v>
      </c>
      <c r="K29" s="18">
        <v>1280.4589830508473</v>
      </c>
      <c r="L29" s="18">
        <v>0</v>
      </c>
      <c r="M29" s="18">
        <f t="shared" si="1"/>
        <v>229869.4133846396</v>
      </c>
      <c r="O29" s="37">
        <f t="shared" si="2"/>
        <v>76623.137794879876</v>
      </c>
      <c r="P29" s="37">
        <f t="shared" si="3"/>
        <v>38311.568897439938</v>
      </c>
      <c r="Q29" s="303">
        <f t="shared" si="4"/>
        <v>42142.725787183932</v>
      </c>
      <c r="R29" t="s">
        <v>385</v>
      </c>
      <c r="S29" s="37"/>
    </row>
    <row r="30" spans="1:19" x14ac:dyDescent="0.2">
      <c r="A30" s="18" t="s">
        <v>67</v>
      </c>
      <c r="B30" s="19">
        <v>2451</v>
      </c>
      <c r="C30" s="18">
        <v>473</v>
      </c>
      <c r="D30" s="37">
        <v>125345</v>
      </c>
      <c r="E30" s="37">
        <v>15528.589999999998</v>
      </c>
      <c r="F30" s="37">
        <v>28808.005076723523</v>
      </c>
      <c r="G30" s="37">
        <f t="shared" si="0"/>
        <v>169681.59507672352</v>
      </c>
      <c r="H30" s="37">
        <v>69829.217649748316</v>
      </c>
      <c r="I30" s="37">
        <v>0</v>
      </c>
      <c r="J30" s="37">
        <v>0</v>
      </c>
      <c r="K30" s="18">
        <v>2067.9264375000071</v>
      </c>
      <c r="L30" s="18">
        <v>0</v>
      </c>
      <c r="M30" s="18">
        <f t="shared" si="1"/>
        <v>241578.73916397186</v>
      </c>
      <c r="O30" s="37">
        <f t="shared" si="2"/>
        <v>80526.246387990614</v>
      </c>
      <c r="P30" s="37">
        <f t="shared" si="3"/>
        <v>40263.123193995307</v>
      </c>
      <c r="Q30" s="303">
        <f t="shared" si="4"/>
        <v>44289.435513394841</v>
      </c>
      <c r="R30" t="s">
        <v>386</v>
      </c>
      <c r="S30" s="37"/>
    </row>
    <row r="31" spans="1:19" x14ac:dyDescent="0.2">
      <c r="A31" s="18" t="s">
        <v>68</v>
      </c>
      <c r="B31" s="19">
        <v>2409</v>
      </c>
      <c r="C31" s="18">
        <v>551</v>
      </c>
      <c r="D31" s="37">
        <v>146015</v>
      </c>
      <c r="E31" s="37">
        <v>18089.329999999998</v>
      </c>
      <c r="F31" s="37">
        <v>33558.585195083848</v>
      </c>
      <c r="G31" s="37">
        <f t="shared" si="0"/>
        <v>197662.91519508383</v>
      </c>
      <c r="H31" s="37">
        <v>132558.23403965449</v>
      </c>
      <c r="I31" s="37">
        <v>3231.8831858407079</v>
      </c>
      <c r="J31" s="37">
        <v>0</v>
      </c>
      <c r="K31" s="18">
        <v>83604.902803382633</v>
      </c>
      <c r="L31" s="18">
        <v>0</v>
      </c>
      <c r="M31" s="18">
        <f t="shared" si="1"/>
        <v>417057.93522396171</v>
      </c>
      <c r="O31" s="37">
        <f t="shared" si="2"/>
        <v>139019.31174132056</v>
      </c>
      <c r="P31" s="37">
        <f t="shared" si="3"/>
        <v>69509.655870660281</v>
      </c>
      <c r="Q31" s="303">
        <f t="shared" si="4"/>
        <v>76460.621457726316</v>
      </c>
      <c r="R31" t="s">
        <v>387</v>
      </c>
      <c r="S31" s="37"/>
    </row>
    <row r="32" spans="1:19" x14ac:dyDescent="0.2">
      <c r="A32" s="18" t="s">
        <v>159</v>
      </c>
      <c r="B32" s="19">
        <v>3158</v>
      </c>
      <c r="C32" s="18">
        <v>117</v>
      </c>
      <c r="D32" s="37">
        <v>31005</v>
      </c>
      <c r="E32" s="37">
        <v>3841.1099999999997</v>
      </c>
      <c r="F32" s="37">
        <v>7125.8701775404907</v>
      </c>
      <c r="G32" s="37">
        <f t="shared" si="0"/>
        <v>41971.980177540492</v>
      </c>
      <c r="H32" s="37">
        <v>26927.517560568187</v>
      </c>
      <c r="I32" s="37">
        <v>0</v>
      </c>
      <c r="J32" s="37">
        <v>0</v>
      </c>
      <c r="K32" s="18">
        <v>41452.780909090907</v>
      </c>
      <c r="L32" s="18">
        <v>0</v>
      </c>
      <c r="M32" s="18">
        <f t="shared" si="1"/>
        <v>110352.27864719959</v>
      </c>
      <c r="O32" s="37">
        <f t="shared" si="2"/>
        <v>36784.092882399869</v>
      </c>
      <c r="P32" s="37">
        <f t="shared" si="3"/>
        <v>18392.046441199935</v>
      </c>
      <c r="Q32" s="303">
        <f t="shared" si="4"/>
        <v>20231.251085319927</v>
      </c>
      <c r="R32" t="s">
        <v>388</v>
      </c>
      <c r="S32" s="37"/>
    </row>
    <row r="33" spans="1:19" x14ac:dyDescent="0.2">
      <c r="A33" s="18" t="s">
        <v>69</v>
      </c>
      <c r="B33" s="19">
        <v>2619</v>
      </c>
      <c r="C33" s="18">
        <v>199</v>
      </c>
      <c r="D33" s="37">
        <v>52735</v>
      </c>
      <c r="E33" s="37">
        <v>6533.17</v>
      </c>
      <c r="F33" s="37">
        <v>12120.069789150066</v>
      </c>
      <c r="G33" s="37">
        <f t="shared" si="0"/>
        <v>71388.239789150059</v>
      </c>
      <c r="H33" s="37">
        <v>121306.21384015768</v>
      </c>
      <c r="I33" s="37">
        <v>1811.7747252747254</v>
      </c>
      <c r="J33" s="37">
        <v>0</v>
      </c>
      <c r="K33" s="18">
        <v>5895.634870588231</v>
      </c>
      <c r="L33" s="18">
        <v>0</v>
      </c>
      <c r="M33" s="18">
        <f t="shared" si="1"/>
        <v>200401.8632251707</v>
      </c>
      <c r="O33" s="37">
        <f t="shared" si="2"/>
        <v>66800.621075056901</v>
      </c>
      <c r="P33" s="37">
        <f t="shared" si="3"/>
        <v>33400.31053752845</v>
      </c>
      <c r="Q33" s="303">
        <f t="shared" si="4"/>
        <v>36740.3415912813</v>
      </c>
      <c r="R33" t="s">
        <v>389</v>
      </c>
      <c r="S33" s="37"/>
    </row>
    <row r="34" spans="1:19" x14ac:dyDescent="0.2">
      <c r="A34" s="18" t="s">
        <v>70</v>
      </c>
      <c r="B34" s="19">
        <v>2518</v>
      </c>
      <c r="C34" s="18">
        <v>297</v>
      </c>
      <c r="D34" s="37">
        <v>78705</v>
      </c>
      <c r="E34" s="37">
        <v>9750.51</v>
      </c>
      <c r="F34" s="37">
        <v>18088.747373756629</v>
      </c>
      <c r="G34" s="37">
        <f t="shared" si="0"/>
        <v>106544.25737375663</v>
      </c>
      <c r="H34" s="37">
        <v>117232.31593494663</v>
      </c>
      <c r="I34" s="37">
        <v>3347.8163265306121</v>
      </c>
      <c r="J34" s="37">
        <v>0</v>
      </c>
      <c r="K34" s="18">
        <v>51980.673060728754</v>
      </c>
      <c r="L34" s="18">
        <v>82704.700000000201</v>
      </c>
      <c r="M34" s="18">
        <f t="shared" si="1"/>
        <v>361809.7626959628</v>
      </c>
      <c r="O34" s="37">
        <f t="shared" si="2"/>
        <v>120603.25423198759</v>
      </c>
      <c r="P34" s="37">
        <f t="shared" si="3"/>
        <v>60301.627115993797</v>
      </c>
      <c r="Q34" s="303">
        <f t="shared" si="4"/>
        <v>66331.78982759318</v>
      </c>
      <c r="R34" t="s">
        <v>390</v>
      </c>
      <c r="S34" s="37"/>
    </row>
    <row r="35" spans="1:19" x14ac:dyDescent="0.2">
      <c r="A35" s="18" t="s">
        <v>71</v>
      </c>
      <c r="B35" s="19">
        <v>2457</v>
      </c>
      <c r="C35" s="18">
        <v>358</v>
      </c>
      <c r="D35" s="37">
        <v>94870</v>
      </c>
      <c r="E35" s="37">
        <v>11753.14</v>
      </c>
      <c r="F35" s="37">
        <v>21803.944645807656</v>
      </c>
      <c r="G35" s="37">
        <f t="shared" si="0"/>
        <v>128427.08464580766</v>
      </c>
      <c r="H35" s="37">
        <v>63881.199829192628</v>
      </c>
      <c r="I35" s="37">
        <v>5070.1367521367529</v>
      </c>
      <c r="J35" s="37">
        <v>0</v>
      </c>
      <c r="K35" s="18">
        <v>11332.061999999998</v>
      </c>
      <c r="L35" s="18">
        <v>0</v>
      </c>
      <c r="M35" s="18">
        <f t="shared" si="1"/>
        <v>208710.48322713704</v>
      </c>
      <c r="O35" s="37">
        <f t="shared" si="2"/>
        <v>69570.161075712342</v>
      </c>
      <c r="P35" s="37">
        <f t="shared" si="3"/>
        <v>34785.080537856171</v>
      </c>
      <c r="Q35" s="303">
        <f t="shared" si="4"/>
        <v>38263.58859164179</v>
      </c>
      <c r="R35" t="s">
        <v>391</v>
      </c>
      <c r="S35" s="37"/>
    </row>
    <row r="36" spans="1:19" x14ac:dyDescent="0.2">
      <c r="A36" s="18" t="s">
        <v>160</v>
      </c>
      <c r="B36" s="19">
        <v>2010</v>
      </c>
      <c r="C36" s="18">
        <v>193</v>
      </c>
      <c r="D36" s="37">
        <v>51145</v>
      </c>
      <c r="E36" s="37">
        <v>6336.19</v>
      </c>
      <c r="F36" s="37">
        <v>11754.640549276193</v>
      </c>
      <c r="G36" s="37">
        <f t="shared" si="0"/>
        <v>69235.830549276201</v>
      </c>
      <c r="H36" s="37">
        <v>78862.898707600645</v>
      </c>
      <c r="I36" s="37">
        <v>0</v>
      </c>
      <c r="J36" s="37">
        <v>0</v>
      </c>
      <c r="K36" s="18">
        <v>11926.860073619633</v>
      </c>
      <c r="L36" s="18">
        <v>0</v>
      </c>
      <c r="M36" s="18">
        <f t="shared" si="1"/>
        <v>160025.5893304965</v>
      </c>
      <c r="O36" s="37">
        <f t="shared" si="2"/>
        <v>53341.863110165497</v>
      </c>
      <c r="P36" s="37">
        <f t="shared" si="3"/>
        <v>26670.931555082749</v>
      </c>
      <c r="Q36" s="303">
        <f t="shared" si="4"/>
        <v>29338.024710591024</v>
      </c>
      <c r="R36" t="s">
        <v>392</v>
      </c>
      <c r="S36" s="37"/>
    </row>
    <row r="37" spans="1:19" x14ac:dyDescent="0.2">
      <c r="A37" s="18" t="s">
        <v>73</v>
      </c>
      <c r="B37" s="19">
        <v>2002</v>
      </c>
      <c r="C37" s="18">
        <v>426</v>
      </c>
      <c r="D37" s="37">
        <v>112890</v>
      </c>
      <c r="E37" s="37">
        <v>13985.58</v>
      </c>
      <c r="F37" s="37">
        <v>25945.476031044862</v>
      </c>
      <c r="G37" s="37">
        <f t="shared" si="0"/>
        <v>152821.05603104486</v>
      </c>
      <c r="H37" s="37">
        <v>22329.720156538635</v>
      </c>
      <c r="I37" s="37">
        <v>1649.2570093457944</v>
      </c>
      <c r="J37" s="37">
        <v>0</v>
      </c>
      <c r="K37" s="18">
        <v>4885.1026229508188</v>
      </c>
      <c r="L37" s="18">
        <v>0</v>
      </c>
      <c r="M37" s="18">
        <f t="shared" si="1"/>
        <v>181685.13581988015</v>
      </c>
      <c r="O37" s="37">
        <f t="shared" si="2"/>
        <v>60561.711939960041</v>
      </c>
      <c r="P37" s="37">
        <f t="shared" si="3"/>
        <v>30280.855969980021</v>
      </c>
      <c r="Q37" s="303">
        <f t="shared" si="4"/>
        <v>33308.941566978021</v>
      </c>
      <c r="R37" t="s">
        <v>393</v>
      </c>
      <c r="S37" s="37"/>
    </row>
    <row r="38" spans="1:19" x14ac:dyDescent="0.2">
      <c r="A38" s="18" t="s">
        <v>74</v>
      </c>
      <c r="B38" s="19">
        <v>3544</v>
      </c>
      <c r="C38" s="18">
        <v>537</v>
      </c>
      <c r="D38" s="37">
        <v>142305</v>
      </c>
      <c r="E38" s="37">
        <v>17629.71</v>
      </c>
      <c r="F38" s="37">
        <v>32705.916968711481</v>
      </c>
      <c r="G38" s="37">
        <f t="shared" si="0"/>
        <v>192640.62696871147</v>
      </c>
      <c r="H38" s="37">
        <v>193105.3838281309</v>
      </c>
      <c r="I38" s="37">
        <v>0</v>
      </c>
      <c r="J38" s="37">
        <v>0</v>
      </c>
      <c r="K38" s="18">
        <v>101493.42914587728</v>
      </c>
      <c r="L38" s="18">
        <v>0</v>
      </c>
      <c r="M38" s="18">
        <f t="shared" si="1"/>
        <v>487239.43994271965</v>
      </c>
      <c r="O38" s="37">
        <f t="shared" si="2"/>
        <v>162413.14664757322</v>
      </c>
      <c r="P38" s="37">
        <f t="shared" si="3"/>
        <v>81206.573323786608</v>
      </c>
      <c r="Q38" s="303">
        <f t="shared" si="4"/>
        <v>89327.230656165266</v>
      </c>
      <c r="R38" t="s">
        <v>394</v>
      </c>
      <c r="S38" s="37"/>
    </row>
    <row r="39" spans="1:19" x14ac:dyDescent="0.2">
      <c r="A39" s="18" t="s">
        <v>161</v>
      </c>
      <c r="B39" s="19">
        <v>2006</v>
      </c>
      <c r="C39" s="18">
        <v>246</v>
      </c>
      <c r="D39" s="37">
        <v>65190</v>
      </c>
      <c r="E39" s="37">
        <v>8076.1799999999994</v>
      </c>
      <c r="F39" s="37">
        <v>14982.598834828723</v>
      </c>
      <c r="G39" s="37">
        <f t="shared" si="0"/>
        <v>88248.778834828714</v>
      </c>
      <c r="H39" s="37">
        <v>6119.640747876485</v>
      </c>
      <c r="I39" s="37">
        <v>6967.8974358974365</v>
      </c>
      <c r="J39" s="37">
        <v>0</v>
      </c>
      <c r="K39" s="18">
        <v>3112.9952562814046</v>
      </c>
      <c r="L39" s="18">
        <v>0</v>
      </c>
      <c r="M39" s="18">
        <f t="shared" si="1"/>
        <v>104449.31227488404</v>
      </c>
      <c r="O39" s="37">
        <f t="shared" si="2"/>
        <v>34816.437424961347</v>
      </c>
      <c r="P39" s="37">
        <f t="shared" si="3"/>
        <v>17408.218712480673</v>
      </c>
      <c r="Q39" s="303">
        <f t="shared" si="4"/>
        <v>19149.04058372874</v>
      </c>
      <c r="R39" t="s">
        <v>395</v>
      </c>
      <c r="S39" s="37"/>
    </row>
    <row r="40" spans="1:19" x14ac:dyDescent="0.2">
      <c r="A40" s="18" t="s">
        <v>76</v>
      </c>
      <c r="B40" s="19">
        <v>2434</v>
      </c>
      <c r="C40" s="18">
        <v>431</v>
      </c>
      <c r="D40" s="37">
        <v>114215</v>
      </c>
      <c r="E40" s="37">
        <v>14149.73</v>
      </c>
      <c r="F40" s="37">
        <v>26250.000397606422</v>
      </c>
      <c r="G40" s="37">
        <f t="shared" si="0"/>
        <v>154614.73039760641</v>
      </c>
      <c r="H40" s="37">
        <v>170510.75314702667</v>
      </c>
      <c r="I40" s="37">
        <v>23327.062814070352</v>
      </c>
      <c r="J40" s="37">
        <v>0</v>
      </c>
      <c r="K40" s="18">
        <v>7194.6193295454595</v>
      </c>
      <c r="L40" s="18">
        <v>41018.260270880317</v>
      </c>
      <c r="M40" s="18">
        <f t="shared" si="1"/>
        <v>396665.42595912924</v>
      </c>
      <c r="O40" s="37">
        <f t="shared" si="2"/>
        <v>132221.80865304306</v>
      </c>
      <c r="P40" s="37">
        <f t="shared" si="3"/>
        <v>66110.90432652153</v>
      </c>
      <c r="Q40" s="303">
        <f t="shared" si="4"/>
        <v>72721.994759173685</v>
      </c>
      <c r="R40" t="s">
        <v>396</v>
      </c>
      <c r="S40" s="37"/>
    </row>
    <row r="41" spans="1:19" x14ac:dyDescent="0.2">
      <c r="A41" s="18" t="s">
        <v>77</v>
      </c>
      <c r="B41" s="19">
        <v>2522</v>
      </c>
      <c r="C41" s="18">
        <v>412</v>
      </c>
      <c r="D41" s="37">
        <v>109180</v>
      </c>
      <c r="E41" s="37">
        <v>13525.96</v>
      </c>
      <c r="F41" s="37">
        <v>25092.807804672495</v>
      </c>
      <c r="G41" s="37">
        <f t="shared" si="0"/>
        <v>147798.76780467248</v>
      </c>
      <c r="H41" s="37">
        <v>22096.850370113854</v>
      </c>
      <c r="I41" s="37">
        <v>3346.4901960784314</v>
      </c>
      <c r="J41" s="37">
        <v>0</v>
      </c>
      <c r="K41" s="18">
        <v>4347.1224804469311</v>
      </c>
      <c r="L41" s="18">
        <v>0</v>
      </c>
      <c r="M41" s="18">
        <f t="shared" si="1"/>
        <v>177589.2308513117</v>
      </c>
      <c r="O41" s="37">
        <f t="shared" si="2"/>
        <v>59196.410283770572</v>
      </c>
      <c r="P41" s="37">
        <f t="shared" si="3"/>
        <v>29598.205141885286</v>
      </c>
      <c r="Q41" s="303">
        <f t="shared" si="4"/>
        <v>32558.025656073816</v>
      </c>
      <c r="R41" t="s">
        <v>397</v>
      </c>
      <c r="S41" s="37"/>
    </row>
    <row r="42" spans="1:19" x14ac:dyDescent="0.2">
      <c r="A42" s="18" t="s">
        <v>78</v>
      </c>
      <c r="B42" s="19">
        <v>2436</v>
      </c>
      <c r="C42" s="18">
        <v>321</v>
      </c>
      <c r="D42" s="37">
        <v>85065</v>
      </c>
      <c r="E42" s="37">
        <v>10538.43</v>
      </c>
      <c r="F42" s="37">
        <v>19550.464333252115</v>
      </c>
      <c r="G42" s="37">
        <f t="shared" si="0"/>
        <v>115153.8943332521</v>
      </c>
      <c r="H42" s="37">
        <v>36693.877715452429</v>
      </c>
      <c r="I42" s="37">
        <v>3398.7028753993604</v>
      </c>
      <c r="J42" s="37">
        <v>0</v>
      </c>
      <c r="K42" s="18">
        <v>2551.6217045454491</v>
      </c>
      <c r="L42" s="18">
        <v>0</v>
      </c>
      <c r="M42" s="18">
        <f t="shared" si="1"/>
        <v>157798.09662864933</v>
      </c>
      <c r="O42" s="37">
        <f t="shared" si="2"/>
        <v>52599.365542883112</v>
      </c>
      <c r="P42" s="37">
        <f t="shared" si="3"/>
        <v>26299.682771441556</v>
      </c>
      <c r="Q42" s="303">
        <f t="shared" si="4"/>
        <v>28929.651048585711</v>
      </c>
      <c r="R42" t="s">
        <v>398</v>
      </c>
      <c r="S42" s="37"/>
    </row>
    <row r="43" spans="1:19" x14ac:dyDescent="0.2">
      <c r="A43" s="18" t="s">
        <v>79</v>
      </c>
      <c r="B43" s="19">
        <v>2452</v>
      </c>
      <c r="C43" s="18">
        <v>207</v>
      </c>
      <c r="D43" s="37">
        <v>54855</v>
      </c>
      <c r="E43" s="37">
        <v>6795.8099999999995</v>
      </c>
      <c r="F43" s="37">
        <v>12607.30877564856</v>
      </c>
      <c r="G43" s="37">
        <f t="shared" si="0"/>
        <v>74258.11877564856</v>
      </c>
      <c r="H43" s="37">
        <v>52220.583077470481</v>
      </c>
      <c r="I43" s="37">
        <v>1689.6502463054187</v>
      </c>
      <c r="J43" s="37">
        <v>0</v>
      </c>
      <c r="K43" s="18">
        <v>2912.1500111731843</v>
      </c>
      <c r="L43" s="18">
        <v>0</v>
      </c>
      <c r="M43" s="18">
        <f t="shared" si="1"/>
        <v>131080.50211059765</v>
      </c>
      <c r="O43" s="37">
        <f t="shared" si="2"/>
        <v>43693.500703532554</v>
      </c>
      <c r="P43" s="37">
        <f t="shared" si="3"/>
        <v>21846.750351766277</v>
      </c>
      <c r="Q43" s="303">
        <f t="shared" si="4"/>
        <v>24031.425386942905</v>
      </c>
      <c r="R43" t="s">
        <v>399</v>
      </c>
      <c r="S43" s="37"/>
    </row>
    <row r="44" spans="1:19" x14ac:dyDescent="0.2">
      <c r="A44" s="18" t="s">
        <v>80</v>
      </c>
      <c r="B44" s="19">
        <v>2627</v>
      </c>
      <c r="C44" s="18">
        <v>388</v>
      </c>
      <c r="D44" s="37">
        <v>102820</v>
      </c>
      <c r="E44" s="37">
        <v>12738.039999999999</v>
      </c>
      <c r="F44" s="37">
        <v>23631.090845177012</v>
      </c>
      <c r="G44" s="37">
        <f t="shared" si="0"/>
        <v>139189.13084517702</v>
      </c>
      <c r="H44" s="37">
        <v>18336.854285378216</v>
      </c>
      <c r="I44" s="37">
        <v>0</v>
      </c>
      <c r="J44" s="37">
        <v>0</v>
      </c>
      <c r="K44" s="18">
        <v>12791.523045317223</v>
      </c>
      <c r="L44" s="18">
        <v>0</v>
      </c>
      <c r="M44" s="18">
        <f t="shared" si="1"/>
        <v>170317.50817587244</v>
      </c>
      <c r="O44" s="37">
        <f t="shared" si="2"/>
        <v>56772.502725290811</v>
      </c>
      <c r="P44" s="37">
        <f t="shared" si="3"/>
        <v>28386.251362645406</v>
      </c>
      <c r="Q44" s="303">
        <f t="shared" si="4"/>
        <v>31224.876498909947</v>
      </c>
      <c r="R44" t="s">
        <v>400</v>
      </c>
      <c r="S44" s="37"/>
    </row>
    <row r="45" spans="1:19" x14ac:dyDescent="0.2">
      <c r="A45" s="18" t="s">
        <v>81</v>
      </c>
      <c r="B45" s="19">
        <v>2009</v>
      </c>
      <c r="C45" s="18">
        <v>276</v>
      </c>
      <c r="D45" s="37">
        <v>73140</v>
      </c>
      <c r="E45" s="37">
        <v>9061.08</v>
      </c>
      <c r="F45" s="37">
        <v>16809.74503419808</v>
      </c>
      <c r="G45" s="37">
        <f t="shared" si="0"/>
        <v>99010.825034198089</v>
      </c>
      <c r="H45" s="37">
        <v>124350.0816378817</v>
      </c>
      <c r="I45" s="37">
        <v>0</v>
      </c>
      <c r="J45" s="37">
        <v>0</v>
      </c>
      <c r="K45" s="18">
        <v>4760.5009315068492</v>
      </c>
      <c r="L45" s="18">
        <v>0</v>
      </c>
      <c r="M45" s="18">
        <f t="shared" si="1"/>
        <v>228121.40760358665</v>
      </c>
      <c r="O45" s="37">
        <f t="shared" si="2"/>
        <v>76040.469201195549</v>
      </c>
      <c r="P45" s="37">
        <f t="shared" si="3"/>
        <v>38020.234600597774</v>
      </c>
      <c r="Q45" s="303">
        <f t="shared" si="4"/>
        <v>41822.258060657558</v>
      </c>
      <c r="R45" t="s">
        <v>401</v>
      </c>
      <c r="S45" s="37"/>
    </row>
    <row r="46" spans="1:19" x14ac:dyDescent="0.2">
      <c r="A46" s="18" t="s">
        <v>162</v>
      </c>
      <c r="B46" s="19">
        <v>2473</v>
      </c>
      <c r="C46" s="18">
        <v>267</v>
      </c>
      <c r="D46" s="37">
        <v>70755</v>
      </c>
      <c r="E46" s="37">
        <v>8765.6099999999988</v>
      </c>
      <c r="F46" s="37">
        <v>16261.601174387273</v>
      </c>
      <c r="G46" s="37">
        <f t="shared" si="0"/>
        <v>95782.211174387281</v>
      </c>
      <c r="H46" s="37">
        <v>79784.702348417428</v>
      </c>
      <c r="I46" s="37">
        <v>6578.7211895910777</v>
      </c>
      <c r="J46" s="37">
        <v>0</v>
      </c>
      <c r="K46" s="18">
        <v>3798.6949830508511</v>
      </c>
      <c r="L46" s="18">
        <v>0</v>
      </c>
      <c r="M46" s="18">
        <f t="shared" si="1"/>
        <v>185944.32969544662</v>
      </c>
      <c r="O46" s="37">
        <f t="shared" si="2"/>
        <v>61981.443231815538</v>
      </c>
      <c r="P46" s="37">
        <f t="shared" si="3"/>
        <v>30990.721615907769</v>
      </c>
      <c r="Q46" s="303">
        <f t="shared" si="4"/>
        <v>34089.793777498548</v>
      </c>
      <c r="R46" t="s">
        <v>402</v>
      </c>
      <c r="S46" s="37"/>
    </row>
    <row r="47" spans="1:19" x14ac:dyDescent="0.2">
      <c r="A47" s="18" t="s">
        <v>84</v>
      </c>
      <c r="B47" s="19">
        <v>2471</v>
      </c>
      <c r="C47" s="18">
        <v>346</v>
      </c>
      <c r="D47" s="37">
        <v>91690</v>
      </c>
      <c r="E47" s="37">
        <v>11359.18</v>
      </c>
      <c r="F47" s="37">
        <v>21073.086166059911</v>
      </c>
      <c r="G47" s="37">
        <f t="shared" si="0"/>
        <v>124122.26616605991</v>
      </c>
      <c r="H47" s="37">
        <v>108054.09763395158</v>
      </c>
      <c r="I47" s="37">
        <v>3294.9540229885056</v>
      </c>
      <c r="J47" s="37">
        <v>0</v>
      </c>
      <c r="K47" s="18">
        <v>4197.059999999994</v>
      </c>
      <c r="L47" s="18">
        <v>0</v>
      </c>
      <c r="M47" s="18">
        <f t="shared" si="1"/>
        <v>239668.37782299999</v>
      </c>
      <c r="O47" s="37">
        <f t="shared" si="2"/>
        <v>79889.459274333334</v>
      </c>
      <c r="P47" s="37">
        <f t="shared" si="3"/>
        <v>39944.729637166667</v>
      </c>
      <c r="Q47" s="303">
        <f t="shared" si="4"/>
        <v>43939.202600883335</v>
      </c>
      <c r="R47" t="s">
        <v>403</v>
      </c>
      <c r="S47" s="37"/>
    </row>
    <row r="48" spans="1:19" x14ac:dyDescent="0.2">
      <c r="A48" s="18" t="s">
        <v>82</v>
      </c>
      <c r="B48" s="19">
        <v>2420</v>
      </c>
      <c r="C48" s="18">
        <v>465</v>
      </c>
      <c r="D48" s="37">
        <v>123225</v>
      </c>
      <c r="E48" s="37">
        <v>15265.949999999999</v>
      </c>
      <c r="F48" s="37">
        <v>28320.766090225028</v>
      </c>
      <c r="G48" s="37">
        <f t="shared" si="0"/>
        <v>166811.71609022503</v>
      </c>
      <c r="H48" s="37">
        <v>288994.28784073947</v>
      </c>
      <c r="I48" s="37">
        <v>5058.019693654267</v>
      </c>
      <c r="J48" s="37">
        <v>0</v>
      </c>
      <c r="K48" s="18">
        <v>56198.853141361244</v>
      </c>
      <c r="L48" s="18">
        <v>74184.499999999724</v>
      </c>
      <c r="M48" s="18">
        <f t="shared" si="1"/>
        <v>591247.3767659798</v>
      </c>
      <c r="O48" s="37">
        <f t="shared" si="2"/>
        <v>197082.45892199327</v>
      </c>
      <c r="P48" s="37">
        <f t="shared" si="3"/>
        <v>98541.229460996634</v>
      </c>
      <c r="Q48" s="303">
        <f t="shared" si="4"/>
        <v>108395.3524070963</v>
      </c>
      <c r="R48" t="s">
        <v>404</v>
      </c>
      <c r="S48" s="37"/>
    </row>
    <row r="49" spans="1:19" x14ac:dyDescent="0.2">
      <c r="A49" s="18" t="s">
        <v>85</v>
      </c>
      <c r="B49" s="19">
        <v>2003</v>
      </c>
      <c r="C49" s="18">
        <v>208</v>
      </c>
      <c r="D49" s="37">
        <v>55120</v>
      </c>
      <c r="E49" s="37">
        <v>6828.6399999999994</v>
      </c>
      <c r="F49" s="37">
        <v>12668.213648960873</v>
      </c>
      <c r="G49" s="37">
        <f t="shared" si="0"/>
        <v>74616.853648960867</v>
      </c>
      <c r="H49" s="37">
        <v>5814.8230954813853</v>
      </c>
      <c r="I49" s="37">
        <v>1618.1032863849766</v>
      </c>
      <c r="J49" s="37">
        <v>0</v>
      </c>
      <c r="K49" s="18">
        <v>1961.7718651685434</v>
      </c>
      <c r="L49" s="18">
        <v>0</v>
      </c>
      <c r="M49" s="18">
        <f t="shared" si="1"/>
        <v>84011.551895995784</v>
      </c>
      <c r="O49" s="37">
        <f t="shared" si="2"/>
        <v>28003.850631998594</v>
      </c>
      <c r="P49" s="37">
        <f t="shared" si="3"/>
        <v>14001.925315999297</v>
      </c>
      <c r="Q49" s="303">
        <f t="shared" si="4"/>
        <v>15402.117847599227</v>
      </c>
      <c r="R49" t="s">
        <v>405</v>
      </c>
      <c r="S49" s="37"/>
    </row>
    <row r="50" spans="1:19" x14ac:dyDescent="0.2">
      <c r="A50" s="18" t="s">
        <v>86</v>
      </c>
      <c r="B50" s="19">
        <v>2423</v>
      </c>
      <c r="C50" s="18">
        <v>358</v>
      </c>
      <c r="D50" s="37">
        <v>94870</v>
      </c>
      <c r="E50" s="37">
        <v>11753.14</v>
      </c>
      <c r="F50" s="37">
        <v>21803.944645807656</v>
      </c>
      <c r="G50" s="37">
        <f t="shared" si="0"/>
        <v>128427.08464580766</v>
      </c>
      <c r="H50" s="37">
        <v>158973.25610099692</v>
      </c>
      <c r="I50" s="37">
        <v>0</v>
      </c>
      <c r="J50" s="37">
        <v>0</v>
      </c>
      <c r="K50" s="18">
        <v>61277.07599999995</v>
      </c>
      <c r="L50" s="18">
        <v>35549.799999999741</v>
      </c>
      <c r="M50" s="18">
        <f t="shared" si="1"/>
        <v>384227.2167468043</v>
      </c>
      <c r="O50" s="37">
        <f t="shared" si="2"/>
        <v>128075.73891560144</v>
      </c>
      <c r="P50" s="37">
        <f t="shared" si="3"/>
        <v>64037.86945780072</v>
      </c>
      <c r="Q50" s="303">
        <f t="shared" si="4"/>
        <v>70441.656403580797</v>
      </c>
      <c r="R50" t="s">
        <v>406</v>
      </c>
      <c r="S50" s="37"/>
    </row>
    <row r="51" spans="1:19" x14ac:dyDescent="0.2">
      <c r="A51" s="18" t="s">
        <v>87</v>
      </c>
      <c r="B51" s="19">
        <v>2424</v>
      </c>
      <c r="C51" s="18">
        <v>267</v>
      </c>
      <c r="D51" s="37">
        <v>70755</v>
      </c>
      <c r="E51" s="37">
        <v>8765.6099999999988</v>
      </c>
      <c r="F51" s="37">
        <v>16261.601174387273</v>
      </c>
      <c r="G51" s="37">
        <f t="shared" si="0"/>
        <v>95782.211174387281</v>
      </c>
      <c r="H51" s="37">
        <v>104807.860821542</v>
      </c>
      <c r="I51" s="37">
        <v>3277.1777777777779</v>
      </c>
      <c r="J51" s="37">
        <v>0</v>
      </c>
      <c r="K51" s="18">
        <v>76607.015491525483</v>
      </c>
      <c r="L51" s="18">
        <v>7785.7000000001563</v>
      </c>
      <c r="M51" s="18">
        <f t="shared" si="1"/>
        <v>288259.96526523266</v>
      </c>
      <c r="O51" s="37">
        <f t="shared" si="2"/>
        <v>96086.655088410887</v>
      </c>
      <c r="P51" s="37">
        <f t="shared" si="3"/>
        <v>48043.327544205444</v>
      </c>
      <c r="Q51" s="303">
        <f t="shared" si="4"/>
        <v>52847.66029862599</v>
      </c>
      <c r="R51" t="s">
        <v>407</v>
      </c>
      <c r="S51" s="37"/>
    </row>
    <row r="52" spans="1:19" x14ac:dyDescent="0.2">
      <c r="A52" s="18" t="s">
        <v>88</v>
      </c>
      <c r="B52" s="19">
        <v>2439</v>
      </c>
      <c r="C52" s="18">
        <v>239</v>
      </c>
      <c r="D52" s="37">
        <v>63335</v>
      </c>
      <c r="E52" s="37">
        <v>7846.37</v>
      </c>
      <c r="F52" s="37">
        <v>14556.264721642541</v>
      </c>
      <c r="G52" s="37">
        <f t="shared" si="0"/>
        <v>85737.634721642535</v>
      </c>
      <c r="H52" s="37">
        <v>9496.1209812673915</v>
      </c>
      <c r="I52" s="37">
        <v>0</v>
      </c>
      <c r="J52" s="37">
        <v>0</v>
      </c>
      <c r="K52" s="18">
        <v>4416.1518113207539</v>
      </c>
      <c r="L52" s="18">
        <v>0</v>
      </c>
      <c r="M52" s="18">
        <f t="shared" si="1"/>
        <v>99649.907514230683</v>
      </c>
      <c r="O52" s="37">
        <f t="shared" si="2"/>
        <v>33216.635838076894</v>
      </c>
      <c r="P52" s="37">
        <f t="shared" si="3"/>
        <v>16608.317919038447</v>
      </c>
      <c r="Q52" s="303">
        <f t="shared" si="4"/>
        <v>18269.149710942293</v>
      </c>
      <c r="R52" t="s">
        <v>408</v>
      </c>
      <c r="S52" s="37"/>
    </row>
    <row r="53" spans="1:19" x14ac:dyDescent="0.2">
      <c r="A53" s="18" t="s">
        <v>89</v>
      </c>
      <c r="B53" s="19">
        <v>2440</v>
      </c>
      <c r="C53" s="18">
        <v>291</v>
      </c>
      <c r="D53" s="37">
        <v>77115</v>
      </c>
      <c r="E53" s="37">
        <v>9553.5299999999988</v>
      </c>
      <c r="F53" s="37">
        <v>17723.31813388276</v>
      </c>
      <c r="G53" s="37">
        <f t="shared" si="0"/>
        <v>104391.84813388276</v>
      </c>
      <c r="H53" s="37">
        <v>15181.377185216536</v>
      </c>
      <c r="I53" s="37">
        <v>0</v>
      </c>
      <c r="J53" s="37">
        <v>0</v>
      </c>
      <c r="K53" s="18">
        <v>1259.1180000000045</v>
      </c>
      <c r="L53" s="18">
        <v>0</v>
      </c>
      <c r="M53" s="18">
        <f t="shared" si="1"/>
        <v>120832.34331909929</v>
      </c>
      <c r="O53" s="37">
        <f t="shared" si="2"/>
        <v>40277.447773033098</v>
      </c>
      <c r="P53" s="37">
        <f t="shared" si="3"/>
        <v>20138.723886516549</v>
      </c>
      <c r="Q53" s="303">
        <f t="shared" si="4"/>
        <v>22152.596275168205</v>
      </c>
      <c r="R53" t="s">
        <v>409</v>
      </c>
      <c r="S53" s="37"/>
    </row>
    <row r="54" spans="1:19" x14ac:dyDescent="0.2">
      <c r="A54" s="18" t="s">
        <v>163</v>
      </c>
      <c r="B54" s="19">
        <v>2462</v>
      </c>
      <c r="C54" s="18">
        <v>220</v>
      </c>
      <c r="D54" s="37">
        <v>58300</v>
      </c>
      <c r="E54" s="37">
        <v>7222.5999999999995</v>
      </c>
      <c r="F54" s="37">
        <v>13399.072128708614</v>
      </c>
      <c r="G54" s="37">
        <f t="shared" si="0"/>
        <v>78921.672128708611</v>
      </c>
      <c r="H54" s="37">
        <v>22687.80574909351</v>
      </c>
      <c r="I54" s="37">
        <v>0</v>
      </c>
      <c r="J54" s="37">
        <v>0</v>
      </c>
      <c r="K54" s="18">
        <v>7502.2447499999998</v>
      </c>
      <c r="L54" s="18">
        <v>0</v>
      </c>
      <c r="M54" s="18">
        <f t="shared" si="1"/>
        <v>109111.72262780213</v>
      </c>
      <c r="O54" s="37">
        <f t="shared" si="2"/>
        <v>36370.574209267375</v>
      </c>
      <c r="P54" s="37">
        <f t="shared" si="3"/>
        <v>18185.287104633688</v>
      </c>
      <c r="Q54" s="303">
        <f t="shared" si="4"/>
        <v>20003.815815097056</v>
      </c>
      <c r="R54" t="s">
        <v>410</v>
      </c>
      <c r="S54" s="37"/>
    </row>
    <row r="55" spans="1:19" x14ac:dyDescent="0.2">
      <c r="A55" s="18" t="s">
        <v>91</v>
      </c>
      <c r="B55" s="19">
        <v>2463</v>
      </c>
      <c r="C55" s="18">
        <v>312</v>
      </c>
      <c r="D55" s="37">
        <v>82680</v>
      </c>
      <c r="E55" s="37">
        <v>10242.959999999999</v>
      </c>
      <c r="F55" s="37">
        <v>19002.320473441308</v>
      </c>
      <c r="G55" s="37">
        <f t="shared" si="0"/>
        <v>111925.28047344129</v>
      </c>
      <c r="H55" s="37">
        <v>32450.724074855512</v>
      </c>
      <c r="I55" s="37">
        <v>0</v>
      </c>
      <c r="J55" s="37">
        <v>0</v>
      </c>
      <c r="K55" s="18">
        <v>7554.7080000000005</v>
      </c>
      <c r="L55" s="18">
        <v>0</v>
      </c>
      <c r="M55" s="18">
        <f t="shared" si="1"/>
        <v>151930.71254829681</v>
      </c>
      <c r="O55" s="37">
        <f t="shared" si="2"/>
        <v>50643.570849432268</v>
      </c>
      <c r="P55" s="37">
        <f t="shared" si="3"/>
        <v>25321.785424716134</v>
      </c>
      <c r="Q55" s="303">
        <f t="shared" si="4"/>
        <v>27853.963967187748</v>
      </c>
      <c r="R55" t="s">
        <v>411</v>
      </c>
      <c r="S55" s="37"/>
    </row>
    <row r="56" spans="1:19" x14ac:dyDescent="0.2">
      <c r="A56" s="18" t="s">
        <v>92</v>
      </c>
      <c r="B56" s="19">
        <v>2505</v>
      </c>
      <c r="C56" s="18">
        <v>453</v>
      </c>
      <c r="D56" s="37">
        <v>120045</v>
      </c>
      <c r="E56" s="37">
        <v>14871.99</v>
      </c>
      <c r="F56" s="37">
        <v>27589.907610477283</v>
      </c>
      <c r="G56" s="37">
        <f t="shared" si="0"/>
        <v>162506.89761047729</v>
      </c>
      <c r="H56" s="37">
        <v>143712.20617204174</v>
      </c>
      <c r="I56" s="37">
        <v>0</v>
      </c>
      <c r="J56" s="37">
        <v>0</v>
      </c>
      <c r="K56" s="18">
        <v>33196.746000000072</v>
      </c>
      <c r="L56" s="18">
        <v>1028.3000000002214</v>
      </c>
      <c r="M56" s="18">
        <f t="shared" si="1"/>
        <v>340444.14978251926</v>
      </c>
      <c r="O56" s="37">
        <f t="shared" si="2"/>
        <v>113481.38326083976</v>
      </c>
      <c r="P56" s="37">
        <f t="shared" si="3"/>
        <v>56740.691630419882</v>
      </c>
      <c r="Q56" s="303">
        <f t="shared" si="4"/>
        <v>62414.760793461872</v>
      </c>
      <c r="R56" t="s">
        <v>412</v>
      </c>
      <c r="S56" s="37"/>
    </row>
    <row r="57" spans="1:19" x14ac:dyDescent="0.2">
      <c r="A57" s="18" t="s">
        <v>93</v>
      </c>
      <c r="B57" s="19">
        <v>2000</v>
      </c>
      <c r="C57" s="18">
        <v>280</v>
      </c>
      <c r="D57" s="37">
        <v>74200</v>
      </c>
      <c r="E57" s="37">
        <v>9192.4</v>
      </c>
      <c r="F57" s="37">
        <v>17053.364527447327</v>
      </c>
      <c r="G57" s="37">
        <f t="shared" si="0"/>
        <v>100445.76452744732</v>
      </c>
      <c r="H57" s="37">
        <v>79298.263613303774</v>
      </c>
      <c r="I57" s="37">
        <v>1578.0952380952381</v>
      </c>
      <c r="J57" s="37">
        <v>0</v>
      </c>
      <c r="K57" s="18">
        <v>8012.5690909090927</v>
      </c>
      <c r="L57" s="18">
        <v>18012.052287581853</v>
      </c>
      <c r="M57" s="18">
        <f t="shared" si="1"/>
        <v>207346.74475733726</v>
      </c>
      <c r="O57" s="37">
        <f t="shared" si="2"/>
        <v>69115.581585779088</v>
      </c>
      <c r="P57" s="37">
        <f t="shared" si="3"/>
        <v>34557.790792889544</v>
      </c>
      <c r="Q57" s="303">
        <f t="shared" si="4"/>
        <v>38013.569872178501</v>
      </c>
      <c r="R57" t="s">
        <v>413</v>
      </c>
      <c r="S57" s="37"/>
    </row>
    <row r="58" spans="1:19" x14ac:dyDescent="0.2">
      <c r="A58" s="18" t="s">
        <v>94</v>
      </c>
      <c r="B58" s="19">
        <v>2458</v>
      </c>
      <c r="C58" s="18">
        <v>270</v>
      </c>
      <c r="D58" s="37">
        <v>71550</v>
      </c>
      <c r="E58" s="37">
        <v>8864.1</v>
      </c>
      <c r="F58" s="37">
        <v>16444.315794324208</v>
      </c>
      <c r="G58" s="37">
        <f t="shared" si="0"/>
        <v>96858.415794324217</v>
      </c>
      <c r="H58" s="37">
        <v>35151.029195081785</v>
      </c>
      <c r="I58" s="37">
        <v>1669.3656716417909</v>
      </c>
      <c r="J58" s="37">
        <v>0</v>
      </c>
      <c r="K58" s="18">
        <v>50994.279000000002</v>
      </c>
      <c r="L58" s="18">
        <v>0</v>
      </c>
      <c r="M58" s="18">
        <f t="shared" si="1"/>
        <v>184673.08966104782</v>
      </c>
      <c r="O58" s="37">
        <f t="shared" si="2"/>
        <v>61557.69655368261</v>
      </c>
      <c r="P58" s="37">
        <f t="shared" si="3"/>
        <v>30778.848276841305</v>
      </c>
      <c r="Q58" s="303">
        <f t="shared" si="4"/>
        <v>33856.73310452544</v>
      </c>
      <c r="R58" t="s">
        <v>414</v>
      </c>
      <c r="S58" s="37"/>
    </row>
    <row r="59" spans="1:19" x14ac:dyDescent="0.2">
      <c r="A59" s="18" t="s">
        <v>95</v>
      </c>
      <c r="B59" s="19">
        <v>2001</v>
      </c>
      <c r="C59" s="18">
        <v>331</v>
      </c>
      <c r="D59" s="37">
        <v>87715</v>
      </c>
      <c r="E59" s="37">
        <v>10866.73</v>
      </c>
      <c r="F59" s="37">
        <v>20159.513066375235</v>
      </c>
      <c r="G59" s="37">
        <f t="shared" si="0"/>
        <v>118741.24306637523</v>
      </c>
      <c r="H59" s="37">
        <v>174055.22266506741</v>
      </c>
      <c r="I59" s="37">
        <v>5342.2110389610389</v>
      </c>
      <c r="J59" s="37">
        <v>0</v>
      </c>
      <c r="K59" s="18">
        <v>9887.7356583629917</v>
      </c>
      <c r="L59" s="18">
        <v>7198.1000000002405</v>
      </c>
      <c r="M59" s="18">
        <f t="shared" si="1"/>
        <v>315224.51242876693</v>
      </c>
      <c r="O59" s="37">
        <f t="shared" si="2"/>
        <v>105074.83747625565</v>
      </c>
      <c r="P59" s="37">
        <f t="shared" si="3"/>
        <v>52537.418738127824</v>
      </c>
      <c r="Q59" s="303">
        <f t="shared" si="4"/>
        <v>57791.160611940606</v>
      </c>
      <c r="R59" t="s">
        <v>415</v>
      </c>
      <c r="S59" s="37"/>
    </row>
    <row r="60" spans="1:19" x14ac:dyDescent="0.2">
      <c r="A60" s="18" t="s">
        <v>96</v>
      </c>
      <c r="B60" s="19">
        <v>2429</v>
      </c>
      <c r="C60" s="18">
        <v>155</v>
      </c>
      <c r="D60" s="37">
        <v>41075</v>
      </c>
      <c r="E60" s="37">
        <v>5088.6499999999996</v>
      </c>
      <c r="F60" s="37">
        <v>9440.2553634083415</v>
      </c>
      <c r="G60" s="37">
        <f t="shared" si="0"/>
        <v>55603.905363408339</v>
      </c>
      <c r="H60" s="37">
        <v>52586.658810692781</v>
      </c>
      <c r="I60" s="37">
        <v>3424.4666666666672</v>
      </c>
      <c r="J60" s="37">
        <v>0</v>
      </c>
      <c r="K60" s="18">
        <v>49565.279999999999</v>
      </c>
      <c r="L60" s="18">
        <v>0</v>
      </c>
      <c r="M60" s="18">
        <f t="shared" si="1"/>
        <v>161180.31084076778</v>
      </c>
      <c r="O60" s="37">
        <f t="shared" si="2"/>
        <v>53726.770280255929</v>
      </c>
      <c r="P60" s="37">
        <f t="shared" si="3"/>
        <v>26863.385140127964</v>
      </c>
      <c r="Q60" s="303">
        <f t="shared" si="4"/>
        <v>29549.723654140758</v>
      </c>
      <c r="R60" t="s">
        <v>416</v>
      </c>
      <c r="S60" s="37"/>
    </row>
    <row r="61" spans="1:19" x14ac:dyDescent="0.2">
      <c r="A61" s="18" t="s">
        <v>97</v>
      </c>
      <c r="B61" s="19">
        <v>2444</v>
      </c>
      <c r="C61" s="18">
        <v>209</v>
      </c>
      <c r="D61" s="37">
        <v>55385</v>
      </c>
      <c r="E61" s="37">
        <v>6861.4699999999993</v>
      </c>
      <c r="F61" s="37">
        <v>12729.118522273184</v>
      </c>
      <c r="G61" s="37">
        <f t="shared" si="0"/>
        <v>74975.588522273189</v>
      </c>
      <c r="H61" s="37">
        <v>54506.776742778093</v>
      </c>
      <c r="I61" s="37">
        <v>1664.9663461538462</v>
      </c>
      <c r="J61" s="37">
        <v>0</v>
      </c>
      <c r="K61" s="18">
        <v>5639.0499</v>
      </c>
      <c r="L61" s="18">
        <v>0</v>
      </c>
      <c r="M61" s="18">
        <f t="shared" si="1"/>
        <v>136786.38151120514</v>
      </c>
      <c r="O61" s="37">
        <f t="shared" si="2"/>
        <v>45595.460503735048</v>
      </c>
      <c r="P61" s="37">
        <f t="shared" si="3"/>
        <v>22797.730251867524</v>
      </c>
      <c r="Q61" s="303">
        <f t="shared" si="4"/>
        <v>25077.503277054275</v>
      </c>
      <c r="R61" t="s">
        <v>417</v>
      </c>
      <c r="S61" s="37"/>
    </row>
    <row r="62" spans="1:19" x14ac:dyDescent="0.2">
      <c r="A62" s="18" t="s">
        <v>98</v>
      </c>
      <c r="B62" s="19">
        <v>5209</v>
      </c>
      <c r="C62" s="18">
        <v>270</v>
      </c>
      <c r="D62" s="37">
        <v>71550</v>
      </c>
      <c r="E62" s="37">
        <v>8864.1</v>
      </c>
      <c r="F62" s="37">
        <v>16444.315794324208</v>
      </c>
      <c r="G62" s="37">
        <f t="shared" si="0"/>
        <v>96858.415794324217</v>
      </c>
      <c r="H62" s="37">
        <v>87300.948051011597</v>
      </c>
      <c r="I62" s="37">
        <v>0</v>
      </c>
      <c r="J62" s="37">
        <v>0</v>
      </c>
      <c r="K62" s="18">
        <v>2937.9419999999968</v>
      </c>
      <c r="L62" s="18">
        <v>0</v>
      </c>
      <c r="M62" s="18">
        <f t="shared" si="1"/>
        <v>187097.30584533582</v>
      </c>
      <c r="O62" s="37">
        <f t="shared" si="2"/>
        <v>62365.768615111941</v>
      </c>
      <c r="P62" s="37">
        <f t="shared" si="3"/>
        <v>31182.884307555971</v>
      </c>
      <c r="Q62" s="303">
        <f t="shared" si="4"/>
        <v>34301.172738311572</v>
      </c>
      <c r="R62" t="s">
        <v>418</v>
      </c>
      <c r="S62" s="37"/>
    </row>
    <row r="63" spans="1:19" x14ac:dyDescent="0.2">
      <c r="A63" s="18" t="s">
        <v>99</v>
      </c>
      <c r="B63" s="19">
        <v>2469</v>
      </c>
      <c r="C63" s="18">
        <v>412</v>
      </c>
      <c r="D63" s="37">
        <v>109180</v>
      </c>
      <c r="E63" s="37">
        <v>13525.96</v>
      </c>
      <c r="F63" s="37">
        <v>25092.807804672495</v>
      </c>
      <c r="G63" s="37">
        <f t="shared" si="0"/>
        <v>147798.76780467248</v>
      </c>
      <c r="H63" s="37">
        <v>34331.045746882468</v>
      </c>
      <c r="I63" s="37">
        <v>1719.6070528967255</v>
      </c>
      <c r="J63" s="37">
        <v>0</v>
      </c>
      <c r="K63" s="18">
        <v>15185.510005665725</v>
      </c>
      <c r="L63" s="18">
        <v>33493.200000000172</v>
      </c>
      <c r="M63" s="18">
        <f t="shared" si="1"/>
        <v>232528.13061011757</v>
      </c>
      <c r="O63" s="37">
        <f t="shared" si="2"/>
        <v>77509.376870039196</v>
      </c>
      <c r="P63" s="37">
        <f t="shared" si="3"/>
        <v>38754.688435019598</v>
      </c>
      <c r="Q63" s="303">
        <f t="shared" si="4"/>
        <v>42630.157278521554</v>
      </c>
      <c r="R63" t="s">
        <v>419</v>
      </c>
      <c r="S63" s="37"/>
    </row>
    <row r="64" spans="1:19" x14ac:dyDescent="0.2">
      <c r="A64" s="18" t="s">
        <v>100</v>
      </c>
      <c r="B64" s="19">
        <v>2430</v>
      </c>
      <c r="C64" s="18">
        <v>113</v>
      </c>
      <c r="D64" s="37">
        <v>29945</v>
      </c>
      <c r="E64" s="37">
        <v>3709.79</v>
      </c>
      <c r="F64" s="37">
        <v>6882.2506842912426</v>
      </c>
      <c r="G64" s="37">
        <f t="shared" si="0"/>
        <v>40537.040684291242</v>
      </c>
      <c r="H64" s="37">
        <v>61883.73284680667</v>
      </c>
      <c r="I64" s="37">
        <v>0</v>
      </c>
      <c r="J64" s="37">
        <v>0</v>
      </c>
      <c r="K64" s="18">
        <v>13769.064580645145</v>
      </c>
      <c r="L64" s="18">
        <v>3966.3000000000793</v>
      </c>
      <c r="M64" s="18">
        <f t="shared" si="1"/>
        <v>120156.13811174314</v>
      </c>
      <c r="O64" s="37">
        <f t="shared" si="2"/>
        <v>40052.046037247717</v>
      </c>
      <c r="P64" s="37">
        <f t="shared" si="3"/>
        <v>20026.023018623859</v>
      </c>
      <c r="Q64" s="303">
        <f t="shared" si="4"/>
        <v>22028.625320486244</v>
      </c>
      <c r="R64" t="s">
        <v>420</v>
      </c>
      <c r="S64" s="37"/>
    </row>
    <row r="65" spans="1:19" x14ac:dyDescent="0.2">
      <c r="A65" s="18" t="s">
        <v>101</v>
      </c>
      <c r="B65" s="19">
        <v>2466</v>
      </c>
      <c r="C65" s="18">
        <v>164</v>
      </c>
      <c r="D65" s="37">
        <v>43460</v>
      </c>
      <c r="E65" s="37">
        <v>5384.12</v>
      </c>
      <c r="F65" s="37">
        <v>9988.3992232191486</v>
      </c>
      <c r="G65" s="37">
        <f t="shared" si="0"/>
        <v>58832.519223219148</v>
      </c>
      <c r="H65" s="37">
        <v>32828.444841959914</v>
      </c>
      <c r="I65" s="37">
        <v>3274.0722891566265</v>
      </c>
      <c r="J65" s="37">
        <v>0</v>
      </c>
      <c r="K65" s="18">
        <v>2771.7496912751662</v>
      </c>
      <c r="L65" s="18">
        <v>21257.294117647045</v>
      </c>
      <c r="M65" s="18">
        <f t="shared" si="1"/>
        <v>118964.0801632579</v>
      </c>
      <c r="O65" s="37">
        <f t="shared" si="2"/>
        <v>39654.693387752632</v>
      </c>
      <c r="P65" s="37">
        <f t="shared" si="3"/>
        <v>19827.346693876316</v>
      </c>
      <c r="Q65" s="303">
        <f t="shared" si="4"/>
        <v>21810.081363263947</v>
      </c>
      <c r="R65" t="s">
        <v>421</v>
      </c>
      <c r="S65" s="37"/>
    </row>
    <row r="66" spans="1:19" x14ac:dyDescent="0.2">
      <c r="A66" s="18" t="s">
        <v>102</v>
      </c>
      <c r="B66" s="19">
        <v>3543</v>
      </c>
      <c r="C66" s="18">
        <v>293</v>
      </c>
      <c r="D66" s="37">
        <v>77645</v>
      </c>
      <c r="E66" s="37">
        <v>9619.1899999999987</v>
      </c>
      <c r="F66" s="37">
        <v>17845.127880507382</v>
      </c>
      <c r="G66" s="37">
        <f t="shared" si="0"/>
        <v>105109.31788050738</v>
      </c>
      <c r="H66" s="37">
        <v>51637.273681227678</v>
      </c>
      <c r="I66" s="37">
        <v>0</v>
      </c>
      <c r="J66" s="37">
        <v>0</v>
      </c>
      <c r="K66" s="18">
        <v>10908.971274193544</v>
      </c>
      <c r="L66" s="18">
        <v>0</v>
      </c>
      <c r="M66" s="18">
        <f t="shared" si="1"/>
        <v>167655.56283592861</v>
      </c>
      <c r="O66" s="37">
        <f t="shared" si="2"/>
        <v>55885.187611976209</v>
      </c>
      <c r="P66" s="37">
        <f t="shared" si="3"/>
        <v>27942.593805988105</v>
      </c>
      <c r="Q66" s="303">
        <f t="shared" si="4"/>
        <v>30736.853186586915</v>
      </c>
      <c r="R66" t="s">
        <v>422</v>
      </c>
      <c r="S66" s="37"/>
    </row>
    <row r="67" spans="1:19" x14ac:dyDescent="0.2">
      <c r="A67" s="18" t="s">
        <v>104</v>
      </c>
      <c r="B67" s="19">
        <v>3531</v>
      </c>
      <c r="C67" s="18">
        <v>350</v>
      </c>
      <c r="D67" s="37">
        <v>92750</v>
      </c>
      <c r="E67" s="37">
        <v>11490.5</v>
      </c>
      <c r="F67" s="37">
        <v>21316.705659309158</v>
      </c>
      <c r="G67" s="37">
        <f t="shared" si="0"/>
        <v>125557.20565930915</v>
      </c>
      <c r="H67" s="37">
        <v>95082.493068316893</v>
      </c>
      <c r="I67" s="37">
        <v>0</v>
      </c>
      <c r="J67" s="37">
        <v>0</v>
      </c>
      <c r="K67" s="18">
        <v>10772.453999999996</v>
      </c>
      <c r="L67" s="18">
        <v>0</v>
      </c>
      <c r="M67" s="18">
        <f t="shared" si="1"/>
        <v>231412.15272762606</v>
      </c>
      <c r="O67" s="37">
        <f t="shared" si="2"/>
        <v>77137.384242542015</v>
      </c>
      <c r="P67" s="37">
        <f t="shared" si="3"/>
        <v>38568.692121271008</v>
      </c>
      <c r="Q67" s="303">
        <f t="shared" si="4"/>
        <v>42425.561333398109</v>
      </c>
      <c r="R67" t="s">
        <v>423</v>
      </c>
      <c r="S67" s="37"/>
    </row>
    <row r="68" spans="1:19" x14ac:dyDescent="0.2">
      <c r="A68" s="18" t="s">
        <v>164</v>
      </c>
      <c r="B68" s="19">
        <v>3526</v>
      </c>
      <c r="C68" s="18">
        <v>83</v>
      </c>
      <c r="D68" s="37">
        <v>21995</v>
      </c>
      <c r="E68" s="37">
        <v>2724.89</v>
      </c>
      <c r="F68" s="37">
        <v>5055.1044849218861</v>
      </c>
      <c r="G68" s="37">
        <f t="shared" si="0"/>
        <v>29774.994484921885</v>
      </c>
      <c r="H68" s="37">
        <v>31833.01931842156</v>
      </c>
      <c r="I68" s="37">
        <v>0</v>
      </c>
      <c r="J68" s="37">
        <v>0</v>
      </c>
      <c r="K68" s="18">
        <v>24882.569999999985</v>
      </c>
      <c r="L68" s="18">
        <v>1028.2999999999945</v>
      </c>
      <c r="M68" s="18">
        <f t="shared" si="1"/>
        <v>87518.883803343429</v>
      </c>
      <c r="O68" s="37">
        <f t="shared" si="2"/>
        <v>29172.961267781146</v>
      </c>
      <c r="P68" s="37">
        <f t="shared" si="3"/>
        <v>14586.480633890573</v>
      </c>
      <c r="Q68" s="303">
        <f t="shared" si="4"/>
        <v>16045.12869727963</v>
      </c>
      <c r="R68" t="s">
        <v>424</v>
      </c>
      <c r="S68" s="37"/>
    </row>
    <row r="69" spans="1:19" x14ac:dyDescent="0.2">
      <c r="A69" s="18" t="s">
        <v>165</v>
      </c>
      <c r="B69" s="19">
        <v>3535</v>
      </c>
      <c r="C69" s="18">
        <v>302</v>
      </c>
      <c r="D69" s="37">
        <v>80030</v>
      </c>
      <c r="E69" s="37">
        <v>9914.66</v>
      </c>
      <c r="F69" s="37">
        <v>18393.271740318189</v>
      </c>
      <c r="G69" s="37">
        <f t="shared" si="0"/>
        <v>108337.93174031819</v>
      </c>
      <c r="H69" s="37">
        <v>120141.83784599337</v>
      </c>
      <c r="I69" s="37">
        <v>0</v>
      </c>
      <c r="J69" s="37">
        <v>0</v>
      </c>
      <c r="K69" s="18">
        <v>36214.632000000027</v>
      </c>
      <c r="L69" s="18">
        <v>0</v>
      </c>
      <c r="M69" s="18">
        <f t="shared" si="1"/>
        <v>264694.40158631158</v>
      </c>
      <c r="O69" s="37">
        <f t="shared" si="2"/>
        <v>88231.467195437202</v>
      </c>
      <c r="P69" s="37">
        <f t="shared" si="3"/>
        <v>44115.733597718601</v>
      </c>
      <c r="Q69" s="303">
        <f t="shared" si="4"/>
        <v>48527.306957490458</v>
      </c>
      <c r="R69" t="s">
        <v>425</v>
      </c>
      <c r="S69" s="37"/>
    </row>
    <row r="70" spans="1:19" x14ac:dyDescent="0.2">
      <c r="A70" s="21" t="s">
        <v>107</v>
      </c>
      <c r="B70" s="19">
        <v>2008</v>
      </c>
      <c r="C70" s="18">
        <v>221</v>
      </c>
      <c r="D70" s="37">
        <v>58565</v>
      </c>
      <c r="E70" s="37">
        <v>7255.4299999999994</v>
      </c>
      <c r="F70" s="37">
        <v>13459.977002020927</v>
      </c>
      <c r="G70" s="37">
        <f t="shared" si="0"/>
        <v>79280.407002020918</v>
      </c>
      <c r="H70" s="37">
        <v>64261.485781160933</v>
      </c>
      <c r="I70" s="37">
        <v>0</v>
      </c>
      <c r="J70" s="37">
        <v>0</v>
      </c>
      <c r="K70" s="18">
        <v>4856.2840837696349</v>
      </c>
      <c r="L70" s="18">
        <v>0</v>
      </c>
      <c r="M70" s="18">
        <f t="shared" si="1"/>
        <v>148398.17686695149</v>
      </c>
      <c r="O70" s="37">
        <f t="shared" si="2"/>
        <v>49466.058955650493</v>
      </c>
      <c r="P70" s="37">
        <f t="shared" si="3"/>
        <v>24733.029477825246</v>
      </c>
      <c r="Q70" s="303">
        <f t="shared" si="4"/>
        <v>27206.332425607772</v>
      </c>
      <c r="R70" t="s">
        <v>426</v>
      </c>
      <c r="S70" s="37"/>
    </row>
    <row r="71" spans="1:19" x14ac:dyDescent="0.2">
      <c r="A71" s="18" t="s">
        <v>166</v>
      </c>
      <c r="B71" s="19">
        <v>3542</v>
      </c>
      <c r="C71" s="18">
        <v>359</v>
      </c>
      <c r="D71" s="37">
        <v>95135</v>
      </c>
      <c r="E71" s="37">
        <v>11785.97</v>
      </c>
      <c r="F71" s="37">
        <v>21864.849519119965</v>
      </c>
      <c r="G71" s="37">
        <f t="shared" si="0"/>
        <v>128785.81951911996</v>
      </c>
      <c r="H71" s="37">
        <v>75808.559523275457</v>
      </c>
      <c r="I71" s="37">
        <v>5055.4929178470256</v>
      </c>
      <c r="J71" s="37">
        <v>0</v>
      </c>
      <c r="K71" s="18">
        <v>38407.213764705921</v>
      </c>
      <c r="L71" s="18">
        <v>0</v>
      </c>
      <c r="M71" s="18">
        <f t="shared" si="1"/>
        <v>248057.08572494838</v>
      </c>
      <c r="O71" s="37">
        <f t="shared" si="2"/>
        <v>82685.695241649461</v>
      </c>
      <c r="P71" s="37">
        <f t="shared" si="3"/>
        <v>41342.84762082473</v>
      </c>
      <c r="Q71" s="303">
        <f t="shared" si="4"/>
        <v>45477.132382907199</v>
      </c>
      <c r="R71" t="s">
        <v>427</v>
      </c>
      <c r="S71" s="37"/>
    </row>
    <row r="72" spans="1:19" x14ac:dyDescent="0.2">
      <c r="A72" s="18" t="s">
        <v>167</v>
      </c>
      <c r="B72" s="19">
        <v>3528</v>
      </c>
      <c r="C72" s="18">
        <v>352</v>
      </c>
      <c r="D72" s="37">
        <v>93280</v>
      </c>
      <c r="E72" s="37">
        <v>11556.16</v>
      </c>
      <c r="F72" s="37">
        <v>21438.515405933784</v>
      </c>
      <c r="G72" s="37">
        <f t="shared" ref="G72:G78" si="5">SUM(D72:F72)</f>
        <v>126274.67540593378</v>
      </c>
      <c r="H72" s="37">
        <v>73864.292035544669</v>
      </c>
      <c r="I72" s="37">
        <v>1720.542772861357</v>
      </c>
      <c r="J72" s="37">
        <v>0</v>
      </c>
      <c r="K72" s="18">
        <v>23194.128163822566</v>
      </c>
      <c r="L72" s="18">
        <v>12927.199999999995</v>
      </c>
      <c r="M72" s="18">
        <f t="shared" ref="M72:M78" si="6">SUM(G72+H72+I72+J72+K72+L72)</f>
        <v>237980.83837816236</v>
      </c>
      <c r="O72" s="37">
        <f t="shared" ref="O72:O78" si="7">SUM(M72/9000*3000)</f>
        <v>79326.946126054128</v>
      </c>
      <c r="P72" s="37">
        <f t="shared" ref="P72:P78" si="8">SUM(M72/9000*1500)</f>
        <v>39663.473063027064</v>
      </c>
      <c r="Q72" s="303">
        <f t="shared" ref="Q72:Q78" si="9">SUM(M72/9000*1650)</f>
        <v>43629.820369329769</v>
      </c>
      <c r="R72" t="s">
        <v>428</v>
      </c>
      <c r="S72" s="37"/>
    </row>
    <row r="73" spans="1:19" x14ac:dyDescent="0.2">
      <c r="A73" s="18" t="s">
        <v>168</v>
      </c>
      <c r="B73" s="19">
        <v>3534</v>
      </c>
      <c r="C73" s="18">
        <v>239</v>
      </c>
      <c r="D73" s="37">
        <v>63335</v>
      </c>
      <c r="E73" s="37">
        <v>7846.37</v>
      </c>
      <c r="F73" s="37">
        <v>14556.264721642541</v>
      </c>
      <c r="G73" s="37">
        <f t="shared" si="5"/>
        <v>85737.634721642535</v>
      </c>
      <c r="H73" s="37">
        <v>26765.820391216403</v>
      </c>
      <c r="I73" s="37">
        <v>3313.9999999999995</v>
      </c>
      <c r="J73" s="37">
        <v>0</v>
      </c>
      <c r="K73" s="18">
        <v>12171.47399999998</v>
      </c>
      <c r="L73" s="18">
        <v>0</v>
      </c>
      <c r="M73" s="18">
        <f t="shared" si="6"/>
        <v>127988.92911285892</v>
      </c>
      <c r="O73" s="37">
        <f t="shared" si="7"/>
        <v>42662.97637095298</v>
      </c>
      <c r="P73" s="37">
        <f t="shared" si="8"/>
        <v>21331.48818547649</v>
      </c>
      <c r="Q73" s="303">
        <f t="shared" si="9"/>
        <v>23464.637004024138</v>
      </c>
      <c r="R73" t="s">
        <v>429</v>
      </c>
      <c r="S73" s="37"/>
    </row>
    <row r="74" spans="1:19" x14ac:dyDescent="0.2">
      <c r="A74" s="18" t="s">
        <v>169</v>
      </c>
      <c r="B74" s="19">
        <v>3532</v>
      </c>
      <c r="C74" s="18">
        <v>303</v>
      </c>
      <c r="D74" s="37">
        <v>80295</v>
      </c>
      <c r="E74" s="37">
        <v>9947.49</v>
      </c>
      <c r="F74" s="37">
        <v>18454.176613630501</v>
      </c>
      <c r="G74" s="37">
        <f t="shared" si="5"/>
        <v>108696.66661363051</v>
      </c>
      <c r="H74" s="37">
        <v>22410.268838441494</v>
      </c>
      <c r="I74" s="37">
        <v>0</v>
      </c>
      <c r="J74" s="37">
        <v>0</v>
      </c>
      <c r="K74" s="18">
        <v>0</v>
      </c>
      <c r="L74" s="18">
        <v>0</v>
      </c>
      <c r="M74" s="18">
        <f t="shared" si="6"/>
        <v>131106.93545207201</v>
      </c>
      <c r="O74" s="37">
        <f t="shared" si="7"/>
        <v>43702.311817357331</v>
      </c>
      <c r="P74" s="37">
        <f t="shared" si="8"/>
        <v>21851.155908678666</v>
      </c>
      <c r="Q74" s="303">
        <f t="shared" si="9"/>
        <v>24036.271499546532</v>
      </c>
      <c r="R74" t="s">
        <v>430</v>
      </c>
      <c r="S74" s="37"/>
    </row>
    <row r="75" spans="1:19" x14ac:dyDescent="0.2">
      <c r="A75" s="18" t="s">
        <v>112</v>
      </c>
      <c r="B75" s="19">
        <v>3546</v>
      </c>
      <c r="C75" s="18">
        <v>533</v>
      </c>
      <c r="D75" s="37">
        <v>141245</v>
      </c>
      <c r="E75" s="37">
        <v>17498.39</v>
      </c>
      <c r="F75" s="37">
        <v>32462.297475462234</v>
      </c>
      <c r="G75" s="37">
        <f t="shared" si="5"/>
        <v>191205.68747546224</v>
      </c>
      <c r="H75" s="37">
        <v>226892.78599106718</v>
      </c>
      <c r="I75" s="37">
        <v>3539.8036072144282</v>
      </c>
      <c r="J75" s="37">
        <v>0</v>
      </c>
      <c r="K75" s="18">
        <v>52517.252803611758</v>
      </c>
      <c r="L75" s="18">
        <v>11311.299999999665</v>
      </c>
      <c r="M75" s="18">
        <f t="shared" si="6"/>
        <v>485466.82987735519</v>
      </c>
      <c r="O75" s="37">
        <f t="shared" si="7"/>
        <v>161822.27662578505</v>
      </c>
      <c r="P75" s="37">
        <f t="shared" si="8"/>
        <v>80911.138312892523</v>
      </c>
      <c r="Q75" s="303">
        <f t="shared" si="9"/>
        <v>89002.252144181781</v>
      </c>
      <c r="R75" t="s">
        <v>431</v>
      </c>
      <c r="S75" s="37"/>
    </row>
    <row r="76" spans="1:19" x14ac:dyDescent="0.2">
      <c r="A76" s="18" t="s">
        <v>170</v>
      </c>
      <c r="B76" s="19">
        <v>3530</v>
      </c>
      <c r="C76" s="18">
        <v>311</v>
      </c>
      <c r="D76" s="37">
        <v>82415</v>
      </c>
      <c r="E76" s="37">
        <v>10210.129999999999</v>
      </c>
      <c r="F76" s="37">
        <v>18941.415600128996</v>
      </c>
      <c r="G76" s="37">
        <f t="shared" si="5"/>
        <v>111566.545600129</v>
      </c>
      <c r="H76" s="37">
        <v>9408.6219568844044</v>
      </c>
      <c r="I76" s="37">
        <v>3424.0996677740864</v>
      </c>
      <c r="J76" s="37">
        <v>0</v>
      </c>
      <c r="K76" s="18">
        <v>2966.5583181818147</v>
      </c>
      <c r="L76" s="18">
        <v>0</v>
      </c>
      <c r="M76" s="18">
        <f t="shared" si="6"/>
        <v>127365.82554296931</v>
      </c>
      <c r="O76" s="37">
        <f t="shared" si="7"/>
        <v>42455.275180989767</v>
      </c>
      <c r="P76" s="37">
        <f t="shared" si="8"/>
        <v>21227.637590494884</v>
      </c>
      <c r="Q76" s="303">
        <f t="shared" si="9"/>
        <v>23350.401349544372</v>
      </c>
      <c r="R76" t="s">
        <v>432</v>
      </c>
      <c r="S76" s="37"/>
    </row>
    <row r="77" spans="1:19" x14ac:dyDescent="0.2">
      <c r="A77" s="18" t="s">
        <v>114</v>
      </c>
      <c r="B77" s="19">
        <v>2459</v>
      </c>
      <c r="C77" s="18">
        <v>387</v>
      </c>
      <c r="D77" s="37">
        <v>102555</v>
      </c>
      <c r="E77" s="37">
        <v>12705.21</v>
      </c>
      <c r="F77" s="37">
        <v>23570.185971864699</v>
      </c>
      <c r="G77" s="37">
        <f t="shared" si="5"/>
        <v>138830.39597186469</v>
      </c>
      <c r="H77" s="37">
        <v>15550.096309611728</v>
      </c>
      <c r="I77" s="37">
        <v>0</v>
      </c>
      <c r="J77" s="37">
        <v>0</v>
      </c>
      <c r="K77" s="18">
        <v>5888.5639395770368</v>
      </c>
      <c r="L77" s="18">
        <v>0</v>
      </c>
      <c r="M77" s="18">
        <f t="shared" si="6"/>
        <v>160269.05622105344</v>
      </c>
      <c r="O77" s="37">
        <f t="shared" si="7"/>
        <v>53423.018740351145</v>
      </c>
      <c r="P77" s="37">
        <f t="shared" si="8"/>
        <v>26711.509370175572</v>
      </c>
      <c r="Q77" s="303">
        <f t="shared" si="9"/>
        <v>29382.660307193131</v>
      </c>
      <c r="R77" t="s">
        <v>433</v>
      </c>
      <c r="S77" s="37"/>
    </row>
    <row r="78" spans="1:19" x14ac:dyDescent="0.2">
      <c r="A78" s="18" t="s">
        <v>434</v>
      </c>
      <c r="B78" s="307" t="s">
        <v>435</v>
      </c>
      <c r="C78" s="18">
        <v>44</v>
      </c>
      <c r="D78" s="37">
        <v>11660</v>
      </c>
      <c r="E78" s="37">
        <v>1444.52</v>
      </c>
      <c r="F78" s="37">
        <v>2679.814425741723</v>
      </c>
      <c r="G78" s="37">
        <f t="shared" si="5"/>
        <v>15784.334425741723</v>
      </c>
      <c r="H78" s="37">
        <v>0</v>
      </c>
      <c r="I78" s="37">
        <v>0</v>
      </c>
      <c r="J78" s="37">
        <v>0</v>
      </c>
      <c r="K78" s="18">
        <v>0</v>
      </c>
      <c r="L78" s="18">
        <v>0</v>
      </c>
      <c r="M78" s="18">
        <f t="shared" si="6"/>
        <v>15784.334425741723</v>
      </c>
      <c r="O78" s="37">
        <f t="shared" si="7"/>
        <v>5261.4448085805743</v>
      </c>
      <c r="P78" s="37">
        <f t="shared" si="8"/>
        <v>2630.7224042902872</v>
      </c>
      <c r="Q78" s="303">
        <f t="shared" si="9"/>
        <v>2893.7946447193158</v>
      </c>
      <c r="R78" t="s">
        <v>436</v>
      </c>
      <c r="S78" s="37"/>
    </row>
    <row r="79" spans="1:19" x14ac:dyDescent="0.2">
      <c r="A79" s="9" t="s">
        <v>171</v>
      </c>
      <c r="B79" s="9" t="s">
        <v>171</v>
      </c>
      <c r="C79" s="9">
        <f t="shared" ref="C79:D79" si="10">SUM(C7:C78)</f>
        <v>21043</v>
      </c>
      <c r="D79" s="9">
        <f t="shared" si="10"/>
        <v>5576395</v>
      </c>
      <c r="E79" s="9">
        <f>SUM(E7:E78)</f>
        <v>690841.69</v>
      </c>
      <c r="F79" s="9">
        <f t="shared" ref="F79:M79" si="11">SUM(F7:F78)</f>
        <v>1281621.2491109795</v>
      </c>
      <c r="G79" s="9">
        <f t="shared" si="11"/>
        <v>7548857.9391109785</v>
      </c>
      <c r="H79" s="9">
        <f t="shared" si="11"/>
        <v>5302813.7076369952</v>
      </c>
      <c r="I79" s="9">
        <f t="shared" si="11"/>
        <v>146047.67572539306</v>
      </c>
      <c r="J79" s="9">
        <f t="shared" si="11"/>
        <v>0</v>
      </c>
      <c r="K79" s="9">
        <f t="shared" si="11"/>
        <v>1231216.8947671775</v>
      </c>
      <c r="L79" s="9">
        <f t="shared" si="11"/>
        <v>457358.18298689334</v>
      </c>
      <c r="M79" s="9">
        <f t="shared" si="11"/>
        <v>14686294.400227441</v>
      </c>
      <c r="N79" s="9"/>
      <c r="O79" s="9">
        <f>SUM(O7:O78)</f>
        <v>4895431.4667424802</v>
      </c>
      <c r="P79" s="9">
        <f>SUM(P7:P78)</f>
        <v>2447715.7333712401</v>
      </c>
      <c r="Q79" s="308">
        <f>SUM(Q7:Q78)</f>
        <v>2692487.3067083643</v>
      </c>
    </row>
    <row r="80" spans="1:19" x14ac:dyDescent="0.2">
      <c r="A80" s="18"/>
      <c r="B80" s="19"/>
      <c r="C80" s="18"/>
      <c r="K80" s="18"/>
      <c r="L80" s="18"/>
      <c r="M80" s="18"/>
      <c r="N80" s="9"/>
    </row>
    <row r="81" spans="1:19" x14ac:dyDescent="0.2">
      <c r="A81" s="18" t="s">
        <v>127</v>
      </c>
      <c r="B81" s="19">
        <v>5402</v>
      </c>
      <c r="C81" s="18">
        <v>1333</v>
      </c>
      <c r="D81" s="37">
        <v>353245</v>
      </c>
      <c r="E81" s="37">
        <v>114151.1884</v>
      </c>
      <c r="F81" s="37">
        <v>81186.196125311748</v>
      </c>
      <c r="G81" s="37">
        <f t="shared" ref="G81:G93" si="12">SUM(D81:F81)</f>
        <v>548582.38452531176</v>
      </c>
      <c r="H81" s="37">
        <v>84438.75701659132</v>
      </c>
      <c r="I81" s="37">
        <v>11435.996301775149</v>
      </c>
      <c r="J81" s="37">
        <v>70809.667161803707</v>
      </c>
      <c r="K81" s="18">
        <v>16118.127950943393</v>
      </c>
      <c r="L81" s="18">
        <v>0</v>
      </c>
      <c r="M81" s="18">
        <f t="shared" ref="M81:M93" si="13">SUM(G81+H81+I81+J81+K81+L81)</f>
        <v>731384.93295642536</v>
      </c>
      <c r="O81" s="37">
        <f t="shared" ref="O81:O93" si="14">SUM(M81/9000*3000)</f>
        <v>243794.9776521418</v>
      </c>
      <c r="P81" s="37">
        <f t="shared" ref="P81:P93" si="15">SUM(M81/9000*1500)</f>
        <v>121897.4888260709</v>
      </c>
      <c r="Q81" s="303">
        <f t="shared" ref="Q81:Q93" si="16">SUM(M81/9000*1650)</f>
        <v>134087.23770867797</v>
      </c>
      <c r="R81" t="s">
        <v>437</v>
      </c>
      <c r="S81" s="37"/>
    </row>
    <row r="82" spans="1:19" x14ac:dyDescent="0.2">
      <c r="A82" s="18" t="s">
        <v>116</v>
      </c>
      <c r="B82" s="19">
        <v>4608</v>
      </c>
      <c r="C82" s="18">
        <v>558</v>
      </c>
      <c r="D82" s="37">
        <v>147870</v>
      </c>
      <c r="E82" s="37">
        <v>47784.218399999998</v>
      </c>
      <c r="F82" s="37">
        <v>33984.919308270029</v>
      </c>
      <c r="G82" s="37">
        <f t="shared" si="12"/>
        <v>229639.13770827005</v>
      </c>
      <c r="H82" s="37">
        <v>194481.67972682058</v>
      </c>
      <c r="I82" s="37">
        <v>9215.3421926910287</v>
      </c>
      <c r="J82" s="37">
        <v>78367.765207100587</v>
      </c>
      <c r="K82" s="18">
        <v>17378.386245487378</v>
      </c>
      <c r="L82" s="18">
        <v>0</v>
      </c>
      <c r="M82" s="18">
        <f t="shared" si="13"/>
        <v>529082.31108036975</v>
      </c>
      <c r="O82" s="37">
        <f t="shared" si="14"/>
        <v>176360.77036012325</v>
      </c>
      <c r="P82" s="37">
        <f t="shared" si="15"/>
        <v>88180.385180061625</v>
      </c>
      <c r="Q82" s="303">
        <f t="shared" si="16"/>
        <v>96998.423698067782</v>
      </c>
      <c r="R82" t="s">
        <v>438</v>
      </c>
      <c r="S82" s="37"/>
    </row>
    <row r="83" spans="1:19" x14ac:dyDescent="0.2">
      <c r="A83" s="18" t="s">
        <v>172</v>
      </c>
      <c r="B83" s="19">
        <v>4178</v>
      </c>
      <c r="C83" s="18">
        <v>1308</v>
      </c>
      <c r="D83" s="37">
        <v>346620</v>
      </c>
      <c r="E83" s="37">
        <v>112010.3184</v>
      </c>
      <c r="F83" s="37">
        <v>79663.574292503952</v>
      </c>
      <c r="G83" s="37">
        <f t="shared" si="12"/>
        <v>538293.89269250399</v>
      </c>
      <c r="H83" s="37">
        <v>285095.52843202505</v>
      </c>
      <c r="I83" s="37">
        <v>8459.6252927400474</v>
      </c>
      <c r="J83" s="37">
        <v>135941.97681462133</v>
      </c>
      <c r="K83" s="18">
        <v>59842.183573085822</v>
      </c>
      <c r="L83" s="18">
        <v>0</v>
      </c>
      <c r="M83" s="18">
        <f t="shared" si="13"/>
        <v>1027633.2068049763</v>
      </c>
      <c r="O83" s="37">
        <f t="shared" si="14"/>
        <v>342544.40226832544</v>
      </c>
      <c r="P83" s="37">
        <f t="shared" si="15"/>
        <v>171272.20113416272</v>
      </c>
      <c r="Q83" s="303">
        <f t="shared" si="16"/>
        <v>188399.42124757898</v>
      </c>
      <c r="R83" t="s">
        <v>439</v>
      </c>
      <c r="S83" s="37"/>
    </row>
    <row r="84" spans="1:19" x14ac:dyDescent="0.2">
      <c r="A84" s="18" t="s">
        <v>118</v>
      </c>
      <c r="B84" s="19">
        <v>4181</v>
      </c>
      <c r="C84" s="18">
        <v>1067</v>
      </c>
      <c r="D84" s="37">
        <v>282755</v>
      </c>
      <c r="E84" s="37">
        <v>91372.331600000005</v>
      </c>
      <c r="F84" s="37">
        <v>64985.49982423678</v>
      </c>
      <c r="G84" s="37">
        <f t="shared" si="12"/>
        <v>439112.83142423682</v>
      </c>
      <c r="H84" s="37">
        <v>148065.4072221058</v>
      </c>
      <c r="I84" s="37">
        <v>4866.1073394495415</v>
      </c>
      <c r="J84" s="37">
        <v>110530.65727634198</v>
      </c>
      <c r="K84" s="18">
        <v>8499.4530332410013</v>
      </c>
      <c r="L84" s="18">
        <v>0</v>
      </c>
      <c r="M84" s="18">
        <f t="shared" si="13"/>
        <v>711074.45629537525</v>
      </c>
      <c r="N84" s="232"/>
      <c r="O84" s="37">
        <f t="shared" si="14"/>
        <v>237024.81876512506</v>
      </c>
      <c r="P84" s="37">
        <f t="shared" si="15"/>
        <v>118512.40938256253</v>
      </c>
      <c r="Q84" s="303">
        <f t="shared" si="16"/>
        <v>130363.65032081878</v>
      </c>
      <c r="R84" t="s">
        <v>440</v>
      </c>
      <c r="S84" s="37"/>
    </row>
    <row r="85" spans="1:19" x14ac:dyDescent="0.2">
      <c r="A85" s="18" t="s">
        <v>119</v>
      </c>
      <c r="B85" s="19">
        <v>4182</v>
      </c>
      <c r="C85" s="18">
        <v>1372</v>
      </c>
      <c r="D85" s="37">
        <v>363580</v>
      </c>
      <c r="E85" s="37">
        <v>117490.94559999999</v>
      </c>
      <c r="F85" s="37">
        <v>83561.486184491907</v>
      </c>
      <c r="G85" s="37">
        <f t="shared" si="12"/>
        <v>564632.43178449187</v>
      </c>
      <c r="H85" s="37">
        <v>72505.249653461433</v>
      </c>
      <c r="I85" s="37">
        <v>10271.403614457831</v>
      </c>
      <c r="J85" s="37">
        <v>85225.227064676496</v>
      </c>
      <c r="K85" s="18">
        <v>39581.527549378239</v>
      </c>
      <c r="L85" s="18">
        <v>0</v>
      </c>
      <c r="M85" s="18">
        <f t="shared" si="13"/>
        <v>772215.83966646576</v>
      </c>
      <c r="O85" s="37">
        <f t="shared" si="14"/>
        <v>257405.27988882191</v>
      </c>
      <c r="P85" s="37">
        <f t="shared" si="15"/>
        <v>128702.63994441096</v>
      </c>
      <c r="Q85" s="303">
        <f t="shared" si="16"/>
        <v>141572.90393885205</v>
      </c>
      <c r="R85" t="s">
        <v>441</v>
      </c>
      <c r="S85" s="37"/>
    </row>
    <row r="86" spans="1:19" x14ac:dyDescent="0.2">
      <c r="A86" s="18" t="s">
        <v>120</v>
      </c>
      <c r="B86" s="244">
        <v>4001</v>
      </c>
      <c r="C86" s="18">
        <v>765</v>
      </c>
      <c r="D86" s="37">
        <v>202725</v>
      </c>
      <c r="E86" s="37">
        <v>65510.621999999996</v>
      </c>
      <c r="F86" s="37">
        <v>46592.228083918591</v>
      </c>
      <c r="G86" s="37">
        <f t="shared" si="12"/>
        <v>314827.85008391854</v>
      </c>
      <c r="H86" s="37">
        <v>296139.68067869125</v>
      </c>
      <c r="I86" s="37">
        <v>10563.375</v>
      </c>
      <c r="J86" s="37">
        <v>145143.3169565218</v>
      </c>
      <c r="K86" s="18">
        <v>60467.37732329846</v>
      </c>
      <c r="L86" s="18">
        <v>0</v>
      </c>
      <c r="M86" s="18">
        <f t="shared" si="13"/>
        <v>827141.6000424301</v>
      </c>
      <c r="O86" s="37">
        <f t="shared" si="14"/>
        <v>275713.86668081005</v>
      </c>
      <c r="P86" s="37">
        <f t="shared" si="15"/>
        <v>137856.93334040503</v>
      </c>
      <c r="Q86" s="303">
        <f t="shared" si="16"/>
        <v>151642.62667444552</v>
      </c>
      <c r="R86" t="s">
        <v>442</v>
      </c>
      <c r="S86" s="37"/>
    </row>
    <row r="87" spans="1:19" x14ac:dyDescent="0.2">
      <c r="A87" s="18" t="s">
        <v>173</v>
      </c>
      <c r="B87" s="19">
        <v>5406</v>
      </c>
      <c r="C87" s="18">
        <v>850</v>
      </c>
      <c r="D87" s="37">
        <v>225250</v>
      </c>
      <c r="E87" s="37">
        <v>72789.58</v>
      </c>
      <c r="F87" s="37">
        <v>51769.142315465106</v>
      </c>
      <c r="G87" s="37">
        <f t="shared" si="12"/>
        <v>349808.7223154651</v>
      </c>
      <c r="H87" s="37">
        <v>158493.47419595392</v>
      </c>
      <c r="I87" s="37">
        <v>7781.4917127071831</v>
      </c>
      <c r="J87" s="37">
        <v>98208.267037552287</v>
      </c>
      <c r="K87" s="18">
        <v>34752.934834123247</v>
      </c>
      <c r="L87" s="18">
        <v>0</v>
      </c>
      <c r="M87" s="18">
        <f t="shared" si="13"/>
        <v>649044.89009580179</v>
      </c>
      <c r="O87" s="37">
        <f t="shared" si="14"/>
        <v>216348.29669860058</v>
      </c>
      <c r="P87" s="37">
        <f t="shared" si="15"/>
        <v>108174.14834930029</v>
      </c>
      <c r="Q87" s="303">
        <f t="shared" si="16"/>
        <v>118991.56318423031</v>
      </c>
      <c r="R87" t="s">
        <v>443</v>
      </c>
      <c r="S87" s="37"/>
    </row>
    <row r="88" spans="1:19" x14ac:dyDescent="0.2">
      <c r="A88" s="18" t="s">
        <v>174</v>
      </c>
      <c r="B88" s="19">
        <v>5407</v>
      </c>
      <c r="C88" s="18">
        <v>995</v>
      </c>
      <c r="D88" s="37">
        <v>263675</v>
      </c>
      <c r="E88" s="37">
        <v>85206.626000000004</v>
      </c>
      <c r="F88" s="37">
        <v>60600.348945750324</v>
      </c>
      <c r="G88" s="37">
        <f t="shared" si="12"/>
        <v>409481.97494575032</v>
      </c>
      <c r="H88" s="37">
        <v>246389.66464252063</v>
      </c>
      <c r="I88" s="37">
        <v>8360.6237322515208</v>
      </c>
      <c r="J88" s="37">
        <v>135089.55971922263</v>
      </c>
      <c r="K88" s="18">
        <v>22183.469999999961</v>
      </c>
      <c r="L88" s="18">
        <v>0</v>
      </c>
      <c r="M88" s="18">
        <f t="shared" si="13"/>
        <v>821505.29303974495</v>
      </c>
      <c r="N88" s="232"/>
      <c r="O88" s="37">
        <f t="shared" si="14"/>
        <v>273835.09767991496</v>
      </c>
      <c r="P88" s="37">
        <f t="shared" si="15"/>
        <v>136917.54883995748</v>
      </c>
      <c r="Q88" s="303">
        <f t="shared" si="16"/>
        <v>150609.30372395323</v>
      </c>
      <c r="R88" t="s">
        <v>444</v>
      </c>
      <c r="S88" s="37"/>
    </row>
    <row r="89" spans="1:19" x14ac:dyDescent="0.2">
      <c r="A89" s="18" t="s">
        <v>123</v>
      </c>
      <c r="B89" s="19">
        <v>4607</v>
      </c>
      <c r="C89" s="18">
        <v>1156</v>
      </c>
      <c r="D89" s="37">
        <v>306340</v>
      </c>
      <c r="E89" s="37">
        <v>98993.828800000003</v>
      </c>
      <c r="F89" s="37">
        <v>70406.033549032538</v>
      </c>
      <c r="G89" s="37">
        <f t="shared" si="12"/>
        <v>475739.86234903254</v>
      </c>
      <c r="H89" s="37">
        <v>244734.81557401572</v>
      </c>
      <c r="I89" s="37">
        <v>6465.7957805907181</v>
      </c>
      <c r="J89" s="37">
        <v>124724.53372781047</v>
      </c>
      <c r="K89" s="18">
        <v>49669.678010204087</v>
      </c>
      <c r="L89" s="18">
        <v>0</v>
      </c>
      <c r="M89" s="18">
        <f t="shared" si="13"/>
        <v>901334.68544165359</v>
      </c>
      <c r="N89" s="232"/>
      <c r="O89" s="37">
        <f t="shared" si="14"/>
        <v>300444.89514721785</v>
      </c>
      <c r="P89" s="37">
        <f t="shared" si="15"/>
        <v>150222.44757360892</v>
      </c>
      <c r="Q89" s="303">
        <f t="shared" si="16"/>
        <v>165244.69233096982</v>
      </c>
      <c r="R89" t="s">
        <v>445</v>
      </c>
      <c r="S89" s="37"/>
    </row>
    <row r="90" spans="1:19" x14ac:dyDescent="0.2">
      <c r="A90" s="18" t="s">
        <v>260</v>
      </c>
      <c r="B90" s="244">
        <v>4002</v>
      </c>
      <c r="C90" s="18">
        <v>750</v>
      </c>
      <c r="D90" s="37">
        <v>198750</v>
      </c>
      <c r="E90" s="37">
        <v>64226.1</v>
      </c>
      <c r="F90" s="37">
        <v>45678.654984233915</v>
      </c>
      <c r="G90" s="37">
        <f t="shared" si="12"/>
        <v>308654.75498423388</v>
      </c>
      <c r="H90" s="37">
        <v>209905.12194928323</v>
      </c>
      <c r="I90" s="37">
        <v>7486.4457831325308</v>
      </c>
      <c r="J90" s="37">
        <v>124653.61204013383</v>
      </c>
      <c r="K90" s="18">
        <v>62853.165000000008</v>
      </c>
      <c r="L90" s="18">
        <v>0</v>
      </c>
      <c r="M90" s="18">
        <f t="shared" si="13"/>
        <v>713553.09975678346</v>
      </c>
      <c r="O90" s="37">
        <f t="shared" si="14"/>
        <v>237851.03325226114</v>
      </c>
      <c r="P90" s="37">
        <f t="shared" si="15"/>
        <v>118925.51662613057</v>
      </c>
      <c r="Q90" s="303">
        <f t="shared" si="16"/>
        <v>130818.06828874363</v>
      </c>
      <c r="R90" t="s">
        <v>446</v>
      </c>
      <c r="S90" s="37"/>
    </row>
    <row r="91" spans="1:19" x14ac:dyDescent="0.2">
      <c r="A91" s="18" t="s">
        <v>175</v>
      </c>
      <c r="B91" s="19">
        <v>4177</v>
      </c>
      <c r="C91" s="18">
        <v>568</v>
      </c>
      <c r="D91" s="37">
        <v>150520</v>
      </c>
      <c r="E91" s="37">
        <v>48640.566399999996</v>
      </c>
      <c r="F91" s="37">
        <v>34593.968041393149</v>
      </c>
      <c r="G91" s="37">
        <f t="shared" si="12"/>
        <v>233754.53444139316</v>
      </c>
      <c r="H91" s="37">
        <v>180901.79850763918</v>
      </c>
      <c r="I91" s="37">
        <v>11537.704471544717</v>
      </c>
      <c r="J91" s="37">
        <v>120168.59597315433</v>
      </c>
      <c r="K91" s="18">
        <v>154162.45057096219</v>
      </c>
      <c r="L91" s="18">
        <v>127697.19848613338</v>
      </c>
      <c r="M91" s="18">
        <f t="shared" si="13"/>
        <v>828222.28245082684</v>
      </c>
      <c r="O91" s="37">
        <f t="shared" si="14"/>
        <v>276074.09415027563</v>
      </c>
      <c r="P91" s="37">
        <f t="shared" si="15"/>
        <v>138037.04707513782</v>
      </c>
      <c r="Q91" s="303">
        <f t="shared" si="16"/>
        <v>151840.75178265158</v>
      </c>
      <c r="R91" t="s">
        <v>436</v>
      </c>
      <c r="S91" s="37"/>
    </row>
    <row r="92" spans="1:19" x14ac:dyDescent="0.2">
      <c r="A92" s="18" t="s">
        <v>126</v>
      </c>
      <c r="B92" s="19">
        <v>5412</v>
      </c>
      <c r="C92" s="18">
        <v>1243</v>
      </c>
      <c r="D92" s="37">
        <v>329395</v>
      </c>
      <c r="E92" s="37">
        <v>106444.0564</v>
      </c>
      <c r="F92" s="37">
        <v>75704.757527203677</v>
      </c>
      <c r="G92" s="37">
        <f t="shared" si="12"/>
        <v>511543.81392720365</v>
      </c>
      <c r="H92" s="37">
        <v>141914.98846330467</v>
      </c>
      <c r="I92" s="37">
        <v>6391.4693560899923</v>
      </c>
      <c r="J92" s="37">
        <v>93824.148999159093</v>
      </c>
      <c r="K92" s="18">
        <v>12344.011643835614</v>
      </c>
      <c r="L92" s="18">
        <v>0</v>
      </c>
      <c r="M92" s="18">
        <f t="shared" si="13"/>
        <v>766018.43238959298</v>
      </c>
      <c r="O92" s="37">
        <f t="shared" si="14"/>
        <v>255339.47746319769</v>
      </c>
      <c r="P92" s="37">
        <f t="shared" si="15"/>
        <v>127669.73873159885</v>
      </c>
      <c r="Q92" s="303">
        <f t="shared" si="16"/>
        <v>140436.71260475874</v>
      </c>
      <c r="R92" t="s">
        <v>447</v>
      </c>
      <c r="S92" s="37"/>
    </row>
    <row r="93" spans="1:19" x14ac:dyDescent="0.2">
      <c r="A93" s="18" t="s">
        <v>125</v>
      </c>
      <c r="B93" s="19">
        <v>5414</v>
      </c>
      <c r="C93" s="18">
        <v>1023</v>
      </c>
      <c r="D93" s="37">
        <v>271095</v>
      </c>
      <c r="E93" s="37">
        <v>87604.400399999999</v>
      </c>
      <c r="F93" s="37">
        <v>62305.685398495058</v>
      </c>
      <c r="G93" s="37">
        <f t="shared" si="12"/>
        <v>421005.08579849504</v>
      </c>
      <c r="H93" s="37">
        <v>92594.375053495853</v>
      </c>
      <c r="I93" s="37">
        <v>3266.1098265895953</v>
      </c>
      <c r="J93" s="37">
        <v>59081.834482758772</v>
      </c>
      <c r="K93" s="18">
        <v>27989.85765926641</v>
      </c>
      <c r="L93" s="18">
        <v>0</v>
      </c>
      <c r="M93" s="18">
        <f t="shared" si="13"/>
        <v>603937.26282060577</v>
      </c>
      <c r="O93" s="37">
        <f t="shared" si="14"/>
        <v>201312.4209402019</v>
      </c>
      <c r="P93" s="37">
        <f t="shared" si="15"/>
        <v>100656.21047010095</v>
      </c>
      <c r="Q93" s="303">
        <f t="shared" si="16"/>
        <v>110721.83151711104</v>
      </c>
      <c r="R93" t="s">
        <v>448</v>
      </c>
      <c r="S93" s="37"/>
    </row>
    <row r="94" spans="1:19" x14ac:dyDescent="0.2">
      <c r="A94" s="18"/>
      <c r="B94" s="19"/>
      <c r="C94" s="18"/>
      <c r="K94" s="18"/>
      <c r="L94" s="18"/>
      <c r="M94" s="18"/>
    </row>
    <row r="95" spans="1:19" x14ac:dyDescent="0.2">
      <c r="A95" s="9" t="s">
        <v>176</v>
      </c>
      <c r="B95" s="9" t="s">
        <v>176</v>
      </c>
      <c r="C95" s="9">
        <f t="shared" ref="C95:P95" si="17">SUM(C81:C94)</f>
        <v>12988</v>
      </c>
      <c r="D95" s="9">
        <f t="shared" si="17"/>
        <v>3441820</v>
      </c>
      <c r="E95" s="9">
        <f t="shared" si="17"/>
        <v>1112224.7823999999</v>
      </c>
      <c r="F95" s="9">
        <f t="shared" si="17"/>
        <v>791032.49458030669</v>
      </c>
      <c r="G95" s="9">
        <f t="shared" si="17"/>
        <v>5345077.276980307</v>
      </c>
      <c r="H95" s="9">
        <f t="shared" si="17"/>
        <v>2355660.5411159084</v>
      </c>
      <c r="I95" s="9">
        <f t="shared" si="17"/>
        <v>106101.49040401985</v>
      </c>
      <c r="J95" s="9">
        <f t="shared" si="17"/>
        <v>1381769.1624608573</v>
      </c>
      <c r="K95" s="9">
        <f t="shared" si="17"/>
        <v>565842.62339382572</v>
      </c>
      <c r="L95" s="9">
        <f t="shared" si="17"/>
        <v>127697.19848613338</v>
      </c>
      <c r="M95" s="9">
        <f t="shared" si="17"/>
        <v>9882148.2928410508</v>
      </c>
      <c r="N95" s="9"/>
      <c r="O95" s="9">
        <f t="shared" si="17"/>
        <v>3294049.4309470169</v>
      </c>
      <c r="P95" s="9">
        <f t="shared" si="17"/>
        <v>1647024.7154735085</v>
      </c>
      <c r="Q95" s="308">
        <f t="shared" ref="Q95" si="18">SUM(Q81:Q94)</f>
        <v>1811727.1870208594</v>
      </c>
      <c r="S95" s="37">
        <f>M97-Q97</f>
        <v>20064228.199339267</v>
      </c>
    </row>
    <row r="96" spans="1:19" x14ac:dyDescent="0.2">
      <c r="A96" s="18"/>
      <c r="B96" s="19"/>
      <c r="C96" s="18"/>
      <c r="K96" s="18"/>
      <c r="L96" s="18"/>
      <c r="M96" s="18"/>
      <c r="N96" s="30"/>
    </row>
    <row r="97" spans="1:17" x14ac:dyDescent="0.2">
      <c r="A97" s="9" t="s">
        <v>177</v>
      </c>
      <c r="B97" s="9" t="s">
        <v>178</v>
      </c>
      <c r="C97" s="9">
        <f t="shared" ref="C97:P97" si="19">SUM(C95,C79)</f>
        <v>34031</v>
      </c>
      <c r="D97" s="9">
        <f t="shared" si="19"/>
        <v>9018215</v>
      </c>
      <c r="E97" s="9">
        <f t="shared" si="19"/>
        <v>1803066.4723999999</v>
      </c>
      <c r="F97" s="9">
        <f t="shared" si="19"/>
        <v>2072653.7436912861</v>
      </c>
      <c r="G97" s="9">
        <f t="shared" si="19"/>
        <v>12893935.216091286</v>
      </c>
      <c r="H97" s="9">
        <f t="shared" si="19"/>
        <v>7658474.2487529032</v>
      </c>
      <c r="I97" s="9">
        <f t="shared" si="19"/>
        <v>252149.16612941289</v>
      </c>
      <c r="J97" s="9">
        <f t="shared" si="19"/>
        <v>1381769.1624608573</v>
      </c>
      <c r="K97" s="9">
        <f t="shared" si="19"/>
        <v>1797059.5181610032</v>
      </c>
      <c r="L97" s="9">
        <f t="shared" si="19"/>
        <v>585055.3814730267</v>
      </c>
      <c r="M97" s="9">
        <f t="shared" si="19"/>
        <v>24568442.693068489</v>
      </c>
      <c r="N97" s="9"/>
      <c r="O97" s="9">
        <f t="shared" si="19"/>
        <v>8189480.8976894971</v>
      </c>
      <c r="P97" s="9">
        <f t="shared" si="19"/>
        <v>4094740.4488447485</v>
      </c>
      <c r="Q97" s="308">
        <f>SUM(Q95,Q79)</f>
        <v>4504214.4937292235</v>
      </c>
    </row>
    <row r="98" spans="1:17" x14ac:dyDescent="0.2">
      <c r="A98" s="9"/>
      <c r="B98" s="9" t="s">
        <v>449</v>
      </c>
      <c r="C98" s="9"/>
      <c r="G98" s="37">
        <f>SUM(G97/9000*1650)</f>
        <v>2363888.1229500691</v>
      </c>
      <c r="H98" s="37">
        <f t="shared" ref="H98:M98" si="20">SUM(H97/9000*1650)</f>
        <v>1404053.6122713657</v>
      </c>
      <c r="I98" s="37">
        <f t="shared" si="20"/>
        <v>46227.347123725696</v>
      </c>
      <c r="J98" s="37">
        <f t="shared" si="20"/>
        <v>253324.34645115718</v>
      </c>
      <c r="K98" s="37">
        <f t="shared" si="20"/>
        <v>329460.91166285059</v>
      </c>
      <c r="L98" s="37">
        <f t="shared" si="20"/>
        <v>107260.1532700549</v>
      </c>
      <c r="M98" s="37">
        <f t="shared" si="20"/>
        <v>4504214.4937292226</v>
      </c>
    </row>
    <row r="99" spans="1:17" x14ac:dyDescent="0.2">
      <c r="B99" s="9" t="s">
        <v>450</v>
      </c>
      <c r="G99" s="40">
        <f>G97-G98</f>
        <v>10530047.093141217</v>
      </c>
      <c r="H99" s="40">
        <f t="shared" ref="H99:M99" si="21">H97-H98</f>
        <v>6254420.6364815375</v>
      </c>
      <c r="I99" s="40">
        <f t="shared" si="21"/>
        <v>205921.8190056872</v>
      </c>
      <c r="J99" s="40">
        <f t="shared" si="21"/>
        <v>1128444.8160097001</v>
      </c>
      <c r="K99" s="40">
        <f t="shared" si="21"/>
        <v>1467598.6064981527</v>
      </c>
      <c r="L99" s="40">
        <f t="shared" si="21"/>
        <v>477795.2282029718</v>
      </c>
      <c r="M99" s="40">
        <f t="shared" si="21"/>
        <v>20064228.199339267</v>
      </c>
    </row>
    <row r="100" spans="1:17" x14ac:dyDescent="0.2">
      <c r="B100" s="10" t="s">
        <v>451</v>
      </c>
      <c r="C100" s="20" t="s">
        <v>5</v>
      </c>
      <c r="G100" s="182">
        <f>SUM(G1/9000*3000)</f>
        <v>119.57829110410395</v>
      </c>
      <c r="H100" s="309">
        <v>0.13300000000000001</v>
      </c>
      <c r="I100" s="182">
        <f>SUM(I1/9000*3000)</f>
        <v>552.33333333333337</v>
      </c>
      <c r="J100" s="182">
        <f>SUM($J$1*0.4)/9000*3000</f>
        <v>123.62</v>
      </c>
      <c r="K100" s="182">
        <f>SUM(K1*0.45)/9000*3000</f>
        <v>139.90199999999999</v>
      </c>
      <c r="L100" s="182">
        <f>SUM(L1)/9000*3000</f>
        <v>489.66666666666663</v>
      </c>
    </row>
    <row r="101" spans="1:17" x14ac:dyDescent="0.2">
      <c r="C101" s="20" t="s">
        <v>7</v>
      </c>
      <c r="G101" s="182">
        <f>SUM(G2/9000*3000)</f>
        <v>137.17989110410397</v>
      </c>
      <c r="H101" s="309">
        <v>0.13300000000000001</v>
      </c>
      <c r="I101" s="182">
        <f>SUM(I1/9000*3000)</f>
        <v>552.33333333333337</v>
      </c>
      <c r="J101" s="182">
        <f>SUM($J$1*0.4)/9000*3000</f>
        <v>123.62</v>
      </c>
      <c r="K101" s="182">
        <f>SUM(K2*0.45)/9000*3000</f>
        <v>410.80500000000001</v>
      </c>
      <c r="L101" s="182">
        <f>SUM(L2)/9000*3000</f>
        <v>824.7399999999999</v>
      </c>
    </row>
    <row r="102" spans="1:17" x14ac:dyDescent="0.2">
      <c r="B102" s="10" t="s">
        <v>452</v>
      </c>
      <c r="C102" s="20" t="s">
        <v>5</v>
      </c>
      <c r="G102" s="182">
        <f>SUM(G1/9000*1500)</f>
        <v>59.789145552051977</v>
      </c>
      <c r="H102" s="309">
        <v>6.6699999999999995E-2</v>
      </c>
      <c r="I102" s="182">
        <f>SUM(I1/9000*1500)</f>
        <v>276.16666666666669</v>
      </c>
      <c r="J102" s="182">
        <f>SUM($J$1*0.4)/9000*1500</f>
        <v>61.81</v>
      </c>
      <c r="K102" s="182">
        <f>SUM(K1*0.45)/9000*1500</f>
        <v>69.950999999999993</v>
      </c>
      <c r="L102" s="182">
        <f>SUM(L1)/9000*1500</f>
        <v>244.83333333333331</v>
      </c>
    </row>
    <row r="103" spans="1:17" x14ac:dyDescent="0.2">
      <c r="C103" s="20" t="s">
        <v>7</v>
      </c>
      <c r="G103" s="182">
        <f>SUM(G2/9000*1500)</f>
        <v>68.589945552051987</v>
      </c>
      <c r="H103" s="309">
        <v>6.6699999999999995E-2</v>
      </c>
      <c r="I103" s="182">
        <f>SUM(I1/9000*1500)</f>
        <v>276.16666666666669</v>
      </c>
      <c r="J103" s="182">
        <f>SUM($J$1*0.4)/9000*1500</f>
        <v>61.81</v>
      </c>
      <c r="K103" s="182">
        <f>SUM(K2*0.45)/9000*1500</f>
        <v>205.4025</v>
      </c>
      <c r="L103" s="182">
        <f>SUM(L2)/9000*1500</f>
        <v>412.36999999999995</v>
      </c>
    </row>
    <row r="104" spans="1:17" x14ac:dyDescent="0.2">
      <c r="B104" s="10" t="s">
        <v>453</v>
      </c>
      <c r="C104" s="20" t="s">
        <v>5</v>
      </c>
      <c r="G104" s="182">
        <f>SUM(G1/9000*1650)</f>
        <v>65.76806010725717</v>
      </c>
      <c r="H104" s="309">
        <v>7.3300000000000004E-2</v>
      </c>
      <c r="I104" s="182">
        <f>SUM(I1/9000*1650)</f>
        <v>303.78333333333336</v>
      </c>
      <c r="J104" s="182">
        <f>SUM($J$1*0.4)/9000*1650</f>
        <v>67.991</v>
      </c>
      <c r="K104" s="182">
        <f>SUM(K1*0.45)/9000*1650</f>
        <v>76.946099999999987</v>
      </c>
      <c r="L104" s="182">
        <f>SUM(L1)/9000*1650</f>
        <v>269.31666666666666</v>
      </c>
    </row>
    <row r="105" spans="1:17" x14ac:dyDescent="0.2">
      <c r="C105" s="20" t="s">
        <v>7</v>
      </c>
      <c r="G105" s="182">
        <f>SUM(G2/9000*1650)</f>
        <v>75.448940107257187</v>
      </c>
      <c r="H105" s="309">
        <v>7.3300000000000004E-2</v>
      </c>
      <c r="I105" s="182">
        <f>SUM(I1/9000*1650)</f>
        <v>303.78333333333336</v>
      </c>
      <c r="J105" s="182">
        <f>SUM($J$1*0.4)/9000*1650</f>
        <v>67.991</v>
      </c>
      <c r="K105" s="182">
        <f>SUM(K2*0.45)/9000*1650</f>
        <v>225.94274999999999</v>
      </c>
      <c r="L105" s="182">
        <f>SUM(L2)/9000*1650</f>
        <v>453.60699999999991</v>
      </c>
    </row>
    <row r="106" spans="1:17" x14ac:dyDescent="0.2">
      <c r="A106" s="20">
        <f>9000-1650</f>
        <v>7350</v>
      </c>
    </row>
    <row r="107" spans="1:17" x14ac:dyDescent="0.2">
      <c r="F107" s="37" t="s">
        <v>454</v>
      </c>
    </row>
    <row r="108" spans="1:17" x14ac:dyDescent="0.2">
      <c r="B108" s="1236">
        <f>SUM(G1*C79)/9000*9000</f>
        <v>7548857.9391109794</v>
      </c>
      <c r="C108" s="1236"/>
      <c r="F108" s="37">
        <v>52771685.799467377</v>
      </c>
      <c r="G108" s="1237">
        <f>B108/F108</f>
        <v>0.14304750406869074</v>
      </c>
      <c r="H108" s="1237"/>
      <c r="I108" s="37" t="s">
        <v>455</v>
      </c>
    </row>
    <row r="109" spans="1:17" x14ac:dyDescent="0.2">
      <c r="B109" s="1236">
        <f>(D109*G2)/9000*9000</f>
        <v>3141693.866066189</v>
      </c>
      <c r="C109" s="1236"/>
      <c r="D109" s="37">
        <v>7634</v>
      </c>
      <c r="E109" s="37" t="s">
        <v>456</v>
      </c>
      <c r="F109" s="37">
        <v>27029357.939901199</v>
      </c>
      <c r="G109" s="1237">
        <f>B109/F109</f>
        <v>0.11623264870189043</v>
      </c>
      <c r="H109" s="1237"/>
      <c r="I109" s="37" t="s">
        <v>456</v>
      </c>
    </row>
    <row r="110" spans="1:17" x14ac:dyDescent="0.2">
      <c r="B110" s="1236">
        <f>SUM(G2*D110)/9000*9000</f>
        <v>2203383.4109141179</v>
      </c>
      <c r="C110" s="1236"/>
      <c r="D110" s="37">
        <v>5354</v>
      </c>
      <c r="E110" s="37" t="s">
        <v>457</v>
      </c>
      <c r="F110" s="37">
        <v>21246391.029931422</v>
      </c>
      <c r="G110" s="1237">
        <f>B110/F110</f>
        <v>0.10370624393620745</v>
      </c>
      <c r="H110" s="1237"/>
      <c r="I110" s="37" t="s">
        <v>457</v>
      </c>
    </row>
    <row r="112" spans="1:17" x14ac:dyDescent="0.2">
      <c r="B112" s="586"/>
      <c r="C112" s="646"/>
    </row>
    <row r="113" spans="2:13" customFormat="1" ht="13.5" thickBot="1" x14ac:dyDescent="0.25">
      <c r="B113" s="10"/>
      <c r="C113" s="20"/>
      <c r="D113" s="37"/>
      <c r="E113" s="37"/>
      <c r="F113" s="37"/>
      <c r="G113" s="37"/>
      <c r="H113" s="37"/>
      <c r="I113" s="37"/>
      <c r="J113" s="37"/>
      <c r="K113" s="37"/>
      <c r="L113" s="37"/>
      <c r="M113" s="37"/>
    </row>
    <row r="114" spans="2:13" customFormat="1" x14ac:dyDescent="0.2">
      <c r="B114" s="311" t="s">
        <v>458</v>
      </c>
      <c r="C114" s="312"/>
      <c r="D114" s="313"/>
      <c r="E114" s="313"/>
      <c r="F114" s="313" t="s">
        <v>454</v>
      </c>
      <c r="G114" s="313"/>
      <c r="H114" s="313"/>
      <c r="I114" s="313"/>
      <c r="J114" s="313"/>
      <c r="K114" s="313"/>
      <c r="L114" s="313"/>
      <c r="M114" s="314"/>
    </row>
    <row r="115" spans="2:13" customFormat="1" x14ac:dyDescent="0.2">
      <c r="B115" s="1238">
        <f>SUM(G1*C79)/9000*7350</f>
        <v>6164900.6502739666</v>
      </c>
      <c r="C115" s="1239"/>
      <c r="D115" s="38"/>
      <c r="E115" s="38"/>
      <c r="F115" s="38">
        <v>51387765.383025005</v>
      </c>
      <c r="G115" s="1240">
        <f>B115/F115</f>
        <v>0.11996825711963002</v>
      </c>
      <c r="H115" s="1240"/>
      <c r="I115" s="38" t="s">
        <v>455</v>
      </c>
      <c r="J115" s="38"/>
      <c r="K115" s="38"/>
      <c r="L115" s="38"/>
      <c r="M115" s="316"/>
    </row>
    <row r="116" spans="2:13" customFormat="1" x14ac:dyDescent="0.2">
      <c r="B116" s="1238">
        <f>SUM(D109*G2)/9000*7350</f>
        <v>2565716.6572873876</v>
      </c>
      <c r="C116" s="1239"/>
      <c r="D116" s="38">
        <v>7634</v>
      </c>
      <c r="E116" s="38" t="s">
        <v>456</v>
      </c>
      <c r="F116" s="38">
        <v>26453381.077200003</v>
      </c>
      <c r="G116" s="1240">
        <f>B116/F116</f>
        <v>9.6990121973435081E-2</v>
      </c>
      <c r="H116" s="1240"/>
      <c r="I116" s="38" t="s">
        <v>456</v>
      </c>
      <c r="J116" s="38"/>
      <c r="K116" s="38"/>
      <c r="L116" s="38"/>
      <c r="M116" s="316"/>
    </row>
    <row r="117" spans="2:13" customFormat="1" x14ac:dyDescent="0.2">
      <c r="B117" s="1238">
        <f>SUM(G2*D110)/9000*7350</f>
        <v>1799429.785579863</v>
      </c>
      <c r="C117" s="1239"/>
      <c r="D117" s="38">
        <v>5354</v>
      </c>
      <c r="E117" s="38" t="s">
        <v>457</v>
      </c>
      <c r="F117" s="38">
        <v>20842437.7588</v>
      </c>
      <c r="G117" s="1240">
        <f>B117/F117</f>
        <v>8.6334900283922683E-2</v>
      </c>
      <c r="H117" s="1240"/>
      <c r="I117" s="38" t="s">
        <v>457</v>
      </c>
      <c r="J117" s="38"/>
      <c r="K117" s="38"/>
      <c r="L117" s="38"/>
      <c r="M117" s="316"/>
    </row>
    <row r="118" spans="2:13" customFormat="1" x14ac:dyDescent="0.2">
      <c r="B118" s="317"/>
      <c r="C118" s="211"/>
      <c r="D118" s="38"/>
      <c r="E118" s="38"/>
      <c r="F118" s="42">
        <f>SUM(F115:F117)</f>
        <v>98683584.219025016</v>
      </c>
      <c r="G118" s="38"/>
      <c r="H118" s="38"/>
      <c r="I118" s="38"/>
      <c r="J118" s="38"/>
      <c r="K118" s="38"/>
      <c r="L118" s="38"/>
      <c r="M118" s="316"/>
    </row>
    <row r="119" spans="2:13" customFormat="1" x14ac:dyDescent="0.2">
      <c r="B119" s="317"/>
      <c r="C119" s="211"/>
      <c r="D119" s="38"/>
      <c r="E119" s="38"/>
      <c r="F119" s="38" t="s">
        <v>459</v>
      </c>
      <c r="G119" s="38"/>
      <c r="H119" s="38">
        <v>17742138.391672775</v>
      </c>
      <c r="I119" s="38">
        <v>205921.82407809049</v>
      </c>
      <c r="J119" s="38">
        <v>3201102.2855521487</v>
      </c>
      <c r="K119" s="38">
        <v>3664003.6792418282</v>
      </c>
      <c r="L119" s="38">
        <v>477793.73106487282</v>
      </c>
      <c r="M119" s="316"/>
    </row>
    <row r="120" spans="2:13" customFormat="1" x14ac:dyDescent="0.2">
      <c r="B120" s="317"/>
      <c r="C120" s="211"/>
      <c r="D120" s="38"/>
      <c r="E120" s="38"/>
      <c r="F120" s="38" t="s">
        <v>460</v>
      </c>
      <c r="G120" s="318"/>
      <c r="H120" s="318">
        <f t="shared" ref="H120:L120" si="22">H99/H119</f>
        <v>0.35251785880652542</v>
      </c>
      <c r="I120" s="318">
        <f t="shared" si="22"/>
        <v>0.99999997536733509</v>
      </c>
      <c r="J120" s="318">
        <f t="shared" si="22"/>
        <v>0.352517575306113</v>
      </c>
      <c r="K120" s="318">
        <f t="shared" si="22"/>
        <v>0.40054506899453624</v>
      </c>
      <c r="L120" s="318">
        <f t="shared" si="22"/>
        <v>1.0000031334402308</v>
      </c>
      <c r="M120" s="316"/>
    </row>
    <row r="121" spans="2:13" customFormat="1" x14ac:dyDescent="0.2">
      <c r="B121" s="317"/>
      <c r="C121" s="211"/>
      <c r="D121" s="38"/>
      <c r="E121" s="38"/>
      <c r="F121" s="38"/>
      <c r="G121" s="38"/>
      <c r="H121" s="38"/>
      <c r="I121" s="38"/>
      <c r="J121" s="38"/>
      <c r="K121" s="38"/>
      <c r="L121" s="38"/>
      <c r="M121" s="316"/>
    </row>
    <row r="122" spans="2:13" customFormat="1" ht="13.5" thickBot="1" x14ac:dyDescent="0.25">
      <c r="B122" s="319"/>
      <c r="C122" s="320"/>
      <c r="D122" s="321"/>
      <c r="E122" s="321"/>
      <c r="F122" s="321"/>
      <c r="G122" s="321"/>
      <c r="H122" s="321"/>
      <c r="I122" s="321"/>
      <c r="J122" s="321"/>
      <c r="K122" s="321"/>
      <c r="L122" s="321"/>
      <c r="M122" s="322"/>
    </row>
    <row r="126" spans="2:13" x14ac:dyDescent="0.2">
      <c r="E126" s="769">
        <v>0.11996825711963002</v>
      </c>
      <c r="F126" s="769"/>
    </row>
    <row r="127" spans="2:13" x14ac:dyDescent="0.2">
      <c r="E127" s="769">
        <v>9.6990121973435081E-2</v>
      </c>
      <c r="F127" s="769"/>
    </row>
    <row r="128" spans="2:13" x14ac:dyDescent="0.2">
      <c r="E128" s="769">
        <v>8.6334900283922683E-2</v>
      </c>
      <c r="F128" s="769"/>
    </row>
  </sheetData>
  <sheetProtection password="EF5C" sheet="1" objects="1" scenarios="1" selectLockedCells="1" selectUnlockedCells="1"/>
  <mergeCells count="12">
    <mergeCell ref="B115:C115"/>
    <mergeCell ref="G115:H115"/>
    <mergeCell ref="B116:C116"/>
    <mergeCell ref="G116:H116"/>
    <mergeCell ref="B117:C117"/>
    <mergeCell ref="G117:H117"/>
    <mergeCell ref="B108:C108"/>
    <mergeCell ref="G108:H108"/>
    <mergeCell ref="B109:C109"/>
    <mergeCell ref="G109:H109"/>
    <mergeCell ref="B110:C110"/>
    <mergeCell ref="G110:H110"/>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26"/>
  <sheetViews>
    <sheetView zoomScale="80" zoomScaleNormal="80" workbookViewId="0">
      <pane xSplit="2" ySplit="6" topLeftCell="F82" activePane="bottomRight" state="frozen"/>
      <selection activeCell="A21" sqref="A21"/>
      <selection pane="topRight" activeCell="A21" sqref="A21"/>
      <selection pane="bottomLeft" activeCell="A21" sqref="A21"/>
      <selection pane="bottomRight" sqref="A1:XFD1048576"/>
    </sheetView>
  </sheetViews>
  <sheetFormatPr defaultRowHeight="12.75" x14ac:dyDescent="0.2"/>
  <cols>
    <col min="1" max="1" width="52.42578125" style="20" bestFit="1" customWidth="1"/>
    <col min="2" max="2" width="17.140625" style="10" bestFit="1" customWidth="1"/>
    <col min="3" max="3" width="14.42578125" style="20" customWidth="1"/>
    <col min="4" max="4" width="11.42578125" style="20" customWidth="1"/>
    <col min="5" max="5" width="10.85546875" style="20" customWidth="1"/>
    <col min="6" max="6" width="13.140625" style="20" customWidth="1"/>
    <col min="7" max="7" width="9.140625" style="20"/>
    <col min="8" max="8" width="12" style="20" customWidth="1"/>
    <col min="9" max="9" width="15.85546875" style="20" bestFit="1" customWidth="1"/>
    <col min="10" max="10" width="11.7109375" style="20" customWidth="1"/>
    <col min="11" max="11" width="11.85546875" style="20" customWidth="1"/>
    <col min="12" max="12" width="12.7109375" style="20" customWidth="1"/>
    <col min="13" max="13" width="9.140625" style="20"/>
    <col min="14" max="14" width="16.42578125" style="27" customWidth="1"/>
    <col min="15" max="15" width="12" bestFit="1" customWidth="1"/>
    <col min="16" max="16" width="20.85546875" customWidth="1"/>
    <col min="17" max="17" width="13" bestFit="1" customWidth="1"/>
    <col min="18" max="18" width="11.42578125" customWidth="1"/>
    <col min="19" max="19" width="8.5703125" customWidth="1"/>
    <col min="21" max="23" width="17.85546875" customWidth="1"/>
    <col min="24" max="24" width="13.42578125" customWidth="1"/>
    <col min="25" max="27" width="10.5703125" customWidth="1"/>
    <col min="28" max="28" width="14.140625" customWidth="1"/>
  </cols>
  <sheetData>
    <row r="1" spans="1:28" ht="12.75" customHeight="1" x14ac:dyDescent="0.2">
      <c r="A1" s="9" t="s">
        <v>137</v>
      </c>
      <c r="C1" s="1245"/>
      <c r="D1" s="12"/>
      <c r="E1" s="12"/>
      <c r="F1" s="12"/>
      <c r="G1" s="12"/>
      <c r="H1" s="12"/>
      <c r="I1" s="12"/>
      <c r="J1" s="187">
        <f>2446.61+73.01+32.8956+-42.5-2.1834-65.7671</f>
        <v>2442.0651000000003</v>
      </c>
      <c r="K1" s="188"/>
      <c r="L1" s="188"/>
      <c r="M1" s="12"/>
      <c r="N1" s="201" t="s">
        <v>259</v>
      </c>
      <c r="O1" s="202"/>
      <c r="Q1" t="s">
        <v>251</v>
      </c>
      <c r="R1" s="11">
        <v>2446.6118278723425</v>
      </c>
      <c r="T1">
        <v>42.28</v>
      </c>
    </row>
    <row r="2" spans="1:28" x14ac:dyDescent="0.2">
      <c r="A2" s="9" t="s">
        <v>138</v>
      </c>
      <c r="C2" s="1245"/>
      <c r="D2" s="12"/>
      <c r="E2" s="12"/>
      <c r="F2" s="12"/>
      <c r="G2" s="12"/>
      <c r="H2" s="12"/>
      <c r="I2" s="12"/>
      <c r="J2" s="188"/>
      <c r="K2" s="188"/>
      <c r="L2" s="188"/>
      <c r="M2" s="12"/>
      <c r="N2" s="1241">
        <f>J1</f>
        <v>2442.0651000000003</v>
      </c>
      <c r="O2" s="1242"/>
      <c r="P2">
        <v>0.2499739793612559</v>
      </c>
      <c r="W2" s="1241">
        <v>2552.5156000000002</v>
      </c>
      <c r="X2" s="1242"/>
      <c r="Y2" t="s">
        <v>275</v>
      </c>
    </row>
    <row r="3" spans="1:28" x14ac:dyDescent="0.2">
      <c r="A3" s="9" t="s">
        <v>139</v>
      </c>
      <c r="C3" s="189"/>
      <c r="D3" s="11"/>
      <c r="E3" s="12"/>
      <c r="F3" s="12"/>
      <c r="G3" s="12"/>
      <c r="H3" s="12"/>
      <c r="I3" s="190"/>
      <c r="J3" s="188"/>
      <c r="K3" s="187">
        <f>3457.51+66.11+85.6348+-60.09-8.5101-75.4489</f>
        <v>3465.2058000000002</v>
      </c>
      <c r="L3" s="188"/>
      <c r="M3" s="12"/>
      <c r="N3" s="1241">
        <f>K3</f>
        <v>3465.2058000000002</v>
      </c>
      <c r="O3" s="1242"/>
      <c r="P3">
        <v>0.35346298564628315</v>
      </c>
      <c r="Q3" t="s">
        <v>252</v>
      </c>
      <c r="R3" s="11">
        <v>3457.5144409338454</v>
      </c>
      <c r="T3">
        <v>83.94</v>
      </c>
      <c r="W3" s="1241">
        <v>3609.2548000000002</v>
      </c>
      <c r="X3" s="1242"/>
      <c r="Y3" t="s">
        <v>275</v>
      </c>
    </row>
    <row r="4" spans="1:28" x14ac:dyDescent="0.2">
      <c r="A4" s="9" t="s">
        <v>140</v>
      </c>
      <c r="C4" s="189"/>
      <c r="D4" s="11"/>
      <c r="E4" s="11"/>
      <c r="F4" s="11"/>
      <c r="G4" s="11"/>
      <c r="H4" s="11"/>
      <c r="I4" s="11"/>
      <c r="J4" s="187"/>
      <c r="K4" s="187"/>
      <c r="L4" s="187">
        <f>3897.61+66.11+85.6348+-67.42-13.6137-75.4489</f>
        <v>3892.8722000000002</v>
      </c>
      <c r="M4" s="11"/>
      <c r="N4" s="1243">
        <f>L4</f>
        <v>3892.8722000000002</v>
      </c>
      <c r="O4" s="1244"/>
      <c r="P4">
        <v>0.39656303499246098</v>
      </c>
      <c r="Q4" t="s">
        <v>253</v>
      </c>
      <c r="R4" s="11">
        <v>3897.6142760268608</v>
      </c>
      <c r="T4">
        <v>83.94</v>
      </c>
      <c r="W4" s="1243">
        <v>4049.3548000000001</v>
      </c>
      <c r="X4" s="1244"/>
      <c r="Y4" t="s">
        <v>275</v>
      </c>
    </row>
    <row r="5" spans="1:28" x14ac:dyDescent="0.2">
      <c r="A5" s="9" t="s">
        <v>141</v>
      </c>
      <c r="C5" s="189"/>
      <c r="D5" s="11"/>
      <c r="E5" s="11"/>
      <c r="F5" s="11"/>
      <c r="G5" s="11"/>
      <c r="H5" s="11"/>
      <c r="I5" s="239"/>
      <c r="J5" s="11"/>
      <c r="K5" s="11"/>
      <c r="L5" s="187"/>
      <c r="M5" s="11"/>
      <c r="P5" s="182">
        <f>N2</f>
        <v>2442.0651000000003</v>
      </c>
      <c r="Q5" s="182">
        <f>N3</f>
        <v>3465.2058000000002</v>
      </c>
      <c r="R5" s="182">
        <f>N4</f>
        <v>3892.8722000000002</v>
      </c>
      <c r="U5" s="182">
        <v>-73.013413092534805</v>
      </c>
      <c r="V5">
        <v>-59.501067947573901</v>
      </c>
      <c r="W5">
        <v>-59.501067947573901</v>
      </c>
    </row>
    <row r="6" spans="1:28" ht="63.75" x14ac:dyDescent="0.2">
      <c r="A6" s="25" t="s">
        <v>180</v>
      </c>
      <c r="B6" s="15" t="s">
        <v>181</v>
      </c>
      <c r="C6" s="16" t="s">
        <v>143</v>
      </c>
      <c r="D6" s="16" t="s">
        <v>144</v>
      </c>
      <c r="E6" s="16" t="s">
        <v>145</v>
      </c>
      <c r="F6" s="16" t="s">
        <v>146</v>
      </c>
      <c r="G6" s="16" t="s">
        <v>147</v>
      </c>
      <c r="H6" s="16" t="s">
        <v>148</v>
      </c>
      <c r="I6" s="16" t="s">
        <v>149</v>
      </c>
      <c r="J6" s="14" t="s">
        <v>150</v>
      </c>
      <c r="K6" s="14" t="s">
        <v>151</v>
      </c>
      <c r="L6" s="14" t="s">
        <v>152</v>
      </c>
      <c r="M6" s="14" t="s">
        <v>153</v>
      </c>
      <c r="N6" s="28" t="s">
        <v>154</v>
      </c>
      <c r="P6" s="14" t="s">
        <v>952</v>
      </c>
      <c r="Q6" s="14" t="s">
        <v>953</v>
      </c>
      <c r="R6" s="14" t="s">
        <v>954</v>
      </c>
      <c r="U6" s="14" t="s">
        <v>947</v>
      </c>
      <c r="V6" s="14" t="s">
        <v>948</v>
      </c>
      <c r="W6" s="14" t="s">
        <v>949</v>
      </c>
      <c r="Y6" s="16" t="s">
        <v>955</v>
      </c>
      <c r="Z6" s="14" t="s">
        <v>956</v>
      </c>
      <c r="AA6" s="14" t="s">
        <v>957</v>
      </c>
      <c r="AB6" s="14" t="s">
        <v>291</v>
      </c>
    </row>
    <row r="7" spans="1:28" x14ac:dyDescent="0.2">
      <c r="A7" s="18" t="s">
        <v>44</v>
      </c>
      <c r="B7" s="19">
        <v>2400</v>
      </c>
      <c r="C7" s="18">
        <v>323</v>
      </c>
      <c r="D7" s="18">
        <v>0</v>
      </c>
      <c r="E7" s="18">
        <v>0</v>
      </c>
      <c r="F7" s="18">
        <f>SUM(C7:E7)</f>
        <v>323</v>
      </c>
      <c r="G7" s="18">
        <v>0</v>
      </c>
      <c r="H7" s="18">
        <v>0</v>
      </c>
      <c r="I7" s="18">
        <v>0</v>
      </c>
      <c r="J7" s="18">
        <f>C7-G7</f>
        <v>323</v>
      </c>
      <c r="K7" s="18">
        <f>D7-H7</f>
        <v>0</v>
      </c>
      <c r="L7" s="18">
        <f>E7-I7</f>
        <v>0</v>
      </c>
      <c r="M7" s="18">
        <f>SUM(J7:L7)</f>
        <v>323</v>
      </c>
      <c r="N7" s="29">
        <f>SUM(J7*$J$1)+SUM(K7*$K$3)+SUM(L7*$L$4)</f>
        <v>788787.02730000007</v>
      </c>
      <c r="O7" s="26"/>
      <c r="P7" s="37">
        <f>P$5*$J7</f>
        <v>788787.02730000007</v>
      </c>
      <c r="Q7" s="37">
        <f>Q$5*$K7</f>
        <v>0</v>
      </c>
      <c r="R7" s="37">
        <f>R$5*$L7</f>
        <v>0</v>
      </c>
      <c r="S7" s="37"/>
      <c r="T7" s="37"/>
      <c r="U7" s="37">
        <f>U$5*$J7</f>
        <v>-23583.332428888742</v>
      </c>
      <c r="V7" s="37">
        <f>V$5*$K7</f>
        <v>0</v>
      </c>
      <c r="W7" s="37">
        <f>W$5*$L7</f>
        <v>0</v>
      </c>
      <c r="X7" s="37"/>
      <c r="Y7" s="18">
        <f>U7+P7</f>
        <v>765203.69487111131</v>
      </c>
      <c r="Z7" s="37">
        <f>V7+Q7</f>
        <v>0</v>
      </c>
      <c r="AA7" s="37">
        <f>W7+R7</f>
        <v>0</v>
      </c>
      <c r="AB7" s="37">
        <f>SUM(Y7:AA7)</f>
        <v>765203.69487111131</v>
      </c>
    </row>
    <row r="8" spans="1:28" x14ac:dyDescent="0.2">
      <c r="A8" s="18" t="s">
        <v>45</v>
      </c>
      <c r="B8" s="19">
        <v>2443</v>
      </c>
      <c r="C8" s="18">
        <v>259</v>
      </c>
      <c r="D8" s="18">
        <v>0</v>
      </c>
      <c r="E8" s="18">
        <v>0</v>
      </c>
      <c r="F8" s="18">
        <f t="shared" ref="F8:F70" si="0">SUM(C8:E8)</f>
        <v>259</v>
      </c>
      <c r="G8" s="18">
        <v>0</v>
      </c>
      <c r="H8" s="18">
        <v>0</v>
      </c>
      <c r="I8" s="18">
        <v>0</v>
      </c>
      <c r="J8" s="18">
        <f t="shared" ref="J8:J70" si="1">C8-G8</f>
        <v>259</v>
      </c>
      <c r="K8" s="18">
        <f t="shared" ref="K8:K70" si="2">D8-H8</f>
        <v>0</v>
      </c>
      <c r="L8" s="18">
        <f t="shared" ref="L8:L70" si="3">E8-I8</f>
        <v>0</v>
      </c>
      <c r="M8" s="18">
        <f t="shared" ref="M8:M70" si="4">SUM(J8:L8)</f>
        <v>259</v>
      </c>
      <c r="N8" s="29">
        <f t="shared" ref="N8:N70" si="5">SUM(J8*$J$1)+SUM(K8*$K$3)+SUM(L8*$L$4)</f>
        <v>632494.86090000009</v>
      </c>
      <c r="P8" s="37">
        <f t="shared" ref="P8:P70" si="6">P$5*$J8</f>
        <v>632494.86090000009</v>
      </c>
      <c r="Q8" s="37">
        <f t="shared" ref="Q8:Q70" si="7">Q$5*$K8</f>
        <v>0</v>
      </c>
      <c r="R8" s="37">
        <f t="shared" ref="R8:R70" si="8">R$5*$L8</f>
        <v>0</v>
      </c>
      <c r="S8" s="37"/>
      <c r="T8" s="37"/>
      <c r="U8" s="37">
        <f t="shared" ref="U8:U70" si="9">U$5*$J8</f>
        <v>-18910.473990966515</v>
      </c>
      <c r="V8" s="37">
        <f t="shared" ref="V8:V70" si="10">V$5*$K8</f>
        <v>0</v>
      </c>
      <c r="W8" s="37">
        <f t="shared" ref="W8:W70" si="11">W$5*$L8</f>
        <v>0</v>
      </c>
      <c r="X8" s="37"/>
      <c r="Y8" s="18">
        <f t="shared" ref="Y8:Y70" si="12">U8+P8</f>
        <v>613584.38690903352</v>
      </c>
      <c r="Z8" s="37">
        <f t="shared" ref="Z8:Z70" si="13">V8+Q8</f>
        <v>0</v>
      </c>
      <c r="AA8" s="37">
        <f t="shared" ref="AA8:AA70" si="14">W8+R8</f>
        <v>0</v>
      </c>
      <c r="AB8" s="37">
        <f t="shared" ref="AB8:AB70" si="15">SUM(Y8:AA8)</f>
        <v>613584.38690903352</v>
      </c>
    </row>
    <row r="9" spans="1:28" x14ac:dyDescent="0.2">
      <c r="A9" s="18" t="s">
        <v>155</v>
      </c>
      <c r="B9" s="19">
        <v>2442</v>
      </c>
      <c r="C9" s="18">
        <v>306</v>
      </c>
      <c r="D9" s="18">
        <v>0</v>
      </c>
      <c r="E9" s="18">
        <v>0</v>
      </c>
      <c r="F9" s="18">
        <f t="shared" si="0"/>
        <v>306</v>
      </c>
      <c r="G9" s="18">
        <v>12</v>
      </c>
      <c r="H9" s="18">
        <v>0</v>
      </c>
      <c r="I9" s="18">
        <v>0</v>
      </c>
      <c r="J9" s="18">
        <f t="shared" si="1"/>
        <v>294</v>
      </c>
      <c r="K9" s="18">
        <f t="shared" si="2"/>
        <v>0</v>
      </c>
      <c r="L9" s="18">
        <f t="shared" si="3"/>
        <v>0</v>
      </c>
      <c r="M9" s="18">
        <f t="shared" si="4"/>
        <v>294</v>
      </c>
      <c r="N9" s="29">
        <f t="shared" si="5"/>
        <v>717967.1394000001</v>
      </c>
      <c r="P9" s="37">
        <f t="shared" si="6"/>
        <v>717967.1394000001</v>
      </c>
      <c r="Q9" s="37">
        <f t="shared" si="7"/>
        <v>0</v>
      </c>
      <c r="R9" s="37">
        <f t="shared" si="8"/>
        <v>0</v>
      </c>
      <c r="S9" s="37"/>
      <c r="T9" s="37"/>
      <c r="U9" s="37">
        <f t="shared" si="9"/>
        <v>-21465.943449205231</v>
      </c>
      <c r="V9" s="37">
        <f t="shared" si="10"/>
        <v>0</v>
      </c>
      <c r="W9" s="37">
        <f t="shared" si="11"/>
        <v>0</v>
      </c>
      <c r="X9" s="37"/>
      <c r="Y9" s="18">
        <f t="shared" si="12"/>
        <v>696501.19595079485</v>
      </c>
      <c r="Z9" s="37">
        <f t="shared" si="13"/>
        <v>0</v>
      </c>
      <c r="AA9" s="37">
        <f t="shared" si="14"/>
        <v>0</v>
      </c>
      <c r="AB9" s="37">
        <f t="shared" si="15"/>
        <v>696501.19595079485</v>
      </c>
    </row>
    <row r="10" spans="1:28" x14ac:dyDescent="0.2">
      <c r="A10" s="18" t="s">
        <v>47</v>
      </c>
      <c r="B10" s="19">
        <v>2629</v>
      </c>
      <c r="C10" s="18">
        <v>406</v>
      </c>
      <c r="D10" s="18">
        <v>0</v>
      </c>
      <c r="E10" s="18">
        <v>0</v>
      </c>
      <c r="F10" s="18">
        <f t="shared" si="0"/>
        <v>406</v>
      </c>
      <c r="G10" s="18">
        <v>5</v>
      </c>
      <c r="H10" s="18">
        <v>0</v>
      </c>
      <c r="I10" s="18">
        <v>0</v>
      </c>
      <c r="J10" s="18">
        <f t="shared" si="1"/>
        <v>401</v>
      </c>
      <c r="K10" s="18">
        <f t="shared" si="2"/>
        <v>0</v>
      </c>
      <c r="L10" s="18">
        <f t="shared" si="3"/>
        <v>0</v>
      </c>
      <c r="M10" s="18">
        <f t="shared" si="4"/>
        <v>401</v>
      </c>
      <c r="N10" s="29">
        <f t="shared" si="5"/>
        <v>979268.10510000016</v>
      </c>
      <c r="P10" s="37">
        <f t="shared" si="6"/>
        <v>979268.10510000016</v>
      </c>
      <c r="Q10" s="37">
        <f t="shared" si="7"/>
        <v>0</v>
      </c>
      <c r="R10" s="37">
        <f t="shared" si="8"/>
        <v>0</v>
      </c>
      <c r="S10" s="37"/>
      <c r="T10" s="37"/>
      <c r="U10" s="37">
        <f t="shared" si="9"/>
        <v>-29278.378650106457</v>
      </c>
      <c r="V10" s="37">
        <f t="shared" si="10"/>
        <v>0</v>
      </c>
      <c r="W10" s="37">
        <f t="shared" si="11"/>
        <v>0</v>
      </c>
      <c r="X10" s="37"/>
      <c r="Y10" s="18">
        <f t="shared" si="12"/>
        <v>949989.72644989367</v>
      </c>
      <c r="Z10" s="37">
        <f t="shared" si="13"/>
        <v>0</v>
      </c>
      <c r="AA10" s="37">
        <f t="shared" si="14"/>
        <v>0</v>
      </c>
      <c r="AB10" s="37">
        <f t="shared" si="15"/>
        <v>949989.72644989367</v>
      </c>
    </row>
    <row r="11" spans="1:28" x14ac:dyDescent="0.2">
      <c r="A11" s="18" t="s">
        <v>48</v>
      </c>
      <c r="B11" s="19">
        <v>2509</v>
      </c>
      <c r="C11" s="18">
        <v>188</v>
      </c>
      <c r="D11" s="18">
        <v>0</v>
      </c>
      <c r="E11" s="18">
        <v>0</v>
      </c>
      <c r="F11" s="18">
        <f t="shared" si="0"/>
        <v>188</v>
      </c>
      <c r="G11" s="18">
        <v>0</v>
      </c>
      <c r="H11" s="18">
        <v>0</v>
      </c>
      <c r="I11" s="18">
        <v>0</v>
      </c>
      <c r="J11" s="18">
        <f t="shared" si="1"/>
        <v>188</v>
      </c>
      <c r="K11" s="18">
        <f t="shared" si="2"/>
        <v>0</v>
      </c>
      <c r="L11" s="18">
        <f t="shared" si="3"/>
        <v>0</v>
      </c>
      <c r="M11" s="18">
        <f t="shared" si="4"/>
        <v>188</v>
      </c>
      <c r="N11" s="29">
        <f t="shared" si="5"/>
        <v>459108.23880000005</v>
      </c>
      <c r="P11" s="37">
        <f t="shared" si="6"/>
        <v>459108.23880000005</v>
      </c>
      <c r="Q11" s="37">
        <f t="shared" si="7"/>
        <v>0</v>
      </c>
      <c r="R11" s="37">
        <f t="shared" si="8"/>
        <v>0</v>
      </c>
      <c r="S11" s="37"/>
      <c r="T11" s="37"/>
      <c r="U11" s="37">
        <f t="shared" si="9"/>
        <v>-13726.521661396544</v>
      </c>
      <c r="V11" s="37">
        <f t="shared" si="10"/>
        <v>0</v>
      </c>
      <c r="W11" s="37">
        <f t="shared" si="11"/>
        <v>0</v>
      </c>
      <c r="X11" s="37"/>
      <c r="Y11" s="18">
        <f t="shared" si="12"/>
        <v>445381.7171386035</v>
      </c>
      <c r="Z11" s="37">
        <f t="shared" si="13"/>
        <v>0</v>
      </c>
      <c r="AA11" s="37">
        <f t="shared" si="14"/>
        <v>0</v>
      </c>
      <c r="AB11" s="37">
        <f t="shared" si="15"/>
        <v>445381.7171386035</v>
      </c>
    </row>
    <row r="12" spans="1:28" x14ac:dyDescent="0.2">
      <c r="A12" s="18" t="s">
        <v>49</v>
      </c>
      <c r="B12" s="19">
        <v>2005</v>
      </c>
      <c r="C12" s="18">
        <v>300</v>
      </c>
      <c r="D12" s="18">
        <v>0</v>
      </c>
      <c r="E12" s="18">
        <v>0</v>
      </c>
      <c r="F12" s="18">
        <f t="shared" si="0"/>
        <v>300</v>
      </c>
      <c r="G12" s="18">
        <v>0</v>
      </c>
      <c r="H12" s="18">
        <v>0</v>
      </c>
      <c r="I12" s="18">
        <v>0</v>
      </c>
      <c r="J12" s="18">
        <f t="shared" si="1"/>
        <v>300</v>
      </c>
      <c r="K12" s="18">
        <f t="shared" si="2"/>
        <v>0</v>
      </c>
      <c r="L12" s="18">
        <f t="shared" si="3"/>
        <v>0</v>
      </c>
      <c r="M12" s="18">
        <f t="shared" si="4"/>
        <v>300</v>
      </c>
      <c r="N12" s="29">
        <f t="shared" si="5"/>
        <v>732619.53</v>
      </c>
      <c r="P12" s="37">
        <f t="shared" si="6"/>
        <v>732619.53</v>
      </c>
      <c r="Q12" s="37">
        <f t="shared" si="7"/>
        <v>0</v>
      </c>
      <c r="R12" s="37">
        <f t="shared" si="8"/>
        <v>0</v>
      </c>
      <c r="S12" s="37"/>
      <c r="T12" s="37"/>
      <c r="U12" s="37">
        <f t="shared" si="9"/>
        <v>-21904.023927760441</v>
      </c>
      <c r="V12" s="37">
        <f t="shared" si="10"/>
        <v>0</v>
      </c>
      <c r="W12" s="37">
        <f t="shared" si="11"/>
        <v>0</v>
      </c>
      <c r="X12" s="37"/>
      <c r="Y12" s="18">
        <f t="shared" si="12"/>
        <v>710715.5060722396</v>
      </c>
      <c r="Z12" s="37">
        <f t="shared" si="13"/>
        <v>0</v>
      </c>
      <c r="AA12" s="37">
        <f t="shared" si="14"/>
        <v>0</v>
      </c>
      <c r="AB12" s="37">
        <f t="shared" si="15"/>
        <v>710715.5060722396</v>
      </c>
    </row>
    <row r="13" spans="1:28" x14ac:dyDescent="0.2">
      <c r="A13" s="18" t="s">
        <v>50</v>
      </c>
      <c r="B13" s="19">
        <v>2464</v>
      </c>
      <c r="C13" s="18">
        <v>186</v>
      </c>
      <c r="D13" s="18">
        <v>0</v>
      </c>
      <c r="E13" s="18">
        <v>0</v>
      </c>
      <c r="F13" s="18">
        <f t="shared" si="0"/>
        <v>186</v>
      </c>
      <c r="G13" s="18">
        <v>0</v>
      </c>
      <c r="H13" s="18">
        <v>0</v>
      </c>
      <c r="I13" s="18">
        <v>0</v>
      </c>
      <c r="J13" s="18">
        <f t="shared" si="1"/>
        <v>186</v>
      </c>
      <c r="K13" s="18">
        <f t="shared" si="2"/>
        <v>0</v>
      </c>
      <c r="L13" s="18">
        <f t="shared" si="3"/>
        <v>0</v>
      </c>
      <c r="M13" s="18">
        <f t="shared" si="4"/>
        <v>186</v>
      </c>
      <c r="N13" s="29">
        <f t="shared" si="5"/>
        <v>454224.10860000004</v>
      </c>
      <c r="P13" s="37">
        <f t="shared" si="6"/>
        <v>454224.10860000004</v>
      </c>
      <c r="Q13" s="37">
        <f t="shared" si="7"/>
        <v>0</v>
      </c>
      <c r="R13" s="37">
        <f t="shared" si="8"/>
        <v>0</v>
      </c>
      <c r="S13" s="37"/>
      <c r="T13" s="37"/>
      <c r="U13" s="37">
        <f t="shared" si="9"/>
        <v>-13580.494835211473</v>
      </c>
      <c r="V13" s="37">
        <f t="shared" si="10"/>
        <v>0</v>
      </c>
      <c r="W13" s="37">
        <f t="shared" si="11"/>
        <v>0</v>
      </c>
      <c r="X13" s="37"/>
      <c r="Y13" s="18">
        <f t="shared" si="12"/>
        <v>440643.61376478855</v>
      </c>
      <c r="Z13" s="37">
        <f t="shared" si="13"/>
        <v>0</v>
      </c>
      <c r="AA13" s="37">
        <f t="shared" si="14"/>
        <v>0</v>
      </c>
      <c r="AB13" s="37">
        <f t="shared" si="15"/>
        <v>440643.61376478855</v>
      </c>
    </row>
    <row r="14" spans="1:28" x14ac:dyDescent="0.2">
      <c r="A14" s="18" t="s">
        <v>51</v>
      </c>
      <c r="B14" s="19">
        <v>2004</v>
      </c>
      <c r="C14" s="18">
        <v>265</v>
      </c>
      <c r="D14" s="18">
        <v>0</v>
      </c>
      <c r="E14" s="18">
        <v>0</v>
      </c>
      <c r="F14" s="18">
        <f t="shared" si="0"/>
        <v>265</v>
      </c>
      <c r="G14" s="18">
        <v>0</v>
      </c>
      <c r="H14" s="18">
        <v>0</v>
      </c>
      <c r="I14" s="18">
        <v>0</v>
      </c>
      <c r="J14" s="18">
        <f t="shared" si="1"/>
        <v>265</v>
      </c>
      <c r="K14" s="18">
        <f t="shared" si="2"/>
        <v>0</v>
      </c>
      <c r="L14" s="18">
        <f t="shared" si="3"/>
        <v>0</v>
      </c>
      <c r="M14" s="18">
        <f t="shared" si="4"/>
        <v>265</v>
      </c>
      <c r="N14" s="29">
        <f t="shared" si="5"/>
        <v>647147.25150000001</v>
      </c>
      <c r="P14" s="37">
        <f t="shared" si="6"/>
        <v>647147.25150000001</v>
      </c>
      <c r="Q14" s="37">
        <f t="shared" si="7"/>
        <v>0</v>
      </c>
      <c r="R14" s="37">
        <f t="shared" si="8"/>
        <v>0</v>
      </c>
      <c r="S14" s="37"/>
      <c r="T14" s="37"/>
      <c r="U14" s="37">
        <f t="shared" si="9"/>
        <v>-19348.554469521725</v>
      </c>
      <c r="V14" s="37">
        <f t="shared" si="10"/>
        <v>0</v>
      </c>
      <c r="W14" s="37">
        <f t="shared" si="11"/>
        <v>0</v>
      </c>
      <c r="X14" s="37"/>
      <c r="Y14" s="18">
        <f t="shared" si="12"/>
        <v>627798.69703047827</v>
      </c>
      <c r="Z14" s="37">
        <f t="shared" si="13"/>
        <v>0</v>
      </c>
      <c r="AA14" s="37">
        <f t="shared" si="14"/>
        <v>0</v>
      </c>
      <c r="AB14" s="37">
        <f t="shared" si="15"/>
        <v>627798.69703047827</v>
      </c>
    </row>
    <row r="15" spans="1:28" x14ac:dyDescent="0.2">
      <c r="A15" s="18" t="s">
        <v>52</v>
      </c>
      <c r="B15" s="19">
        <v>2405</v>
      </c>
      <c r="C15" s="18">
        <v>202</v>
      </c>
      <c r="D15" s="18">
        <v>0</v>
      </c>
      <c r="E15" s="18">
        <v>0</v>
      </c>
      <c r="F15" s="18">
        <f t="shared" si="0"/>
        <v>202</v>
      </c>
      <c r="G15" s="18">
        <v>6</v>
      </c>
      <c r="H15" s="18">
        <v>0</v>
      </c>
      <c r="I15" s="18">
        <v>0</v>
      </c>
      <c r="J15" s="18">
        <f t="shared" si="1"/>
        <v>196</v>
      </c>
      <c r="K15" s="18">
        <f t="shared" si="2"/>
        <v>0</v>
      </c>
      <c r="L15" s="18">
        <f t="shared" si="3"/>
        <v>0</v>
      </c>
      <c r="M15" s="18">
        <f t="shared" si="4"/>
        <v>196</v>
      </c>
      <c r="N15" s="29">
        <f t="shared" si="5"/>
        <v>478644.75960000005</v>
      </c>
      <c r="P15" s="37">
        <f t="shared" si="6"/>
        <v>478644.75960000005</v>
      </c>
      <c r="Q15" s="37">
        <f t="shared" si="7"/>
        <v>0</v>
      </c>
      <c r="R15" s="37">
        <f t="shared" si="8"/>
        <v>0</v>
      </c>
      <c r="S15" s="37"/>
      <c r="T15" s="37"/>
      <c r="U15" s="37">
        <f t="shared" si="9"/>
        <v>-14310.628966136821</v>
      </c>
      <c r="V15" s="37">
        <f t="shared" si="10"/>
        <v>0</v>
      </c>
      <c r="W15" s="37">
        <f t="shared" si="11"/>
        <v>0</v>
      </c>
      <c r="X15" s="37"/>
      <c r="Y15" s="18">
        <f t="shared" si="12"/>
        <v>464334.13063386321</v>
      </c>
      <c r="Z15" s="37">
        <f t="shared" si="13"/>
        <v>0</v>
      </c>
      <c r="AA15" s="37">
        <f t="shared" si="14"/>
        <v>0</v>
      </c>
      <c r="AB15" s="37">
        <f t="shared" si="15"/>
        <v>464334.13063386321</v>
      </c>
    </row>
    <row r="16" spans="1:28" x14ac:dyDescent="0.2">
      <c r="A16" s="18" t="s">
        <v>156</v>
      </c>
      <c r="B16" s="19">
        <v>3525</v>
      </c>
      <c r="C16" s="18">
        <v>209</v>
      </c>
      <c r="D16" s="18">
        <v>0</v>
      </c>
      <c r="E16" s="18">
        <v>0</v>
      </c>
      <c r="F16" s="18">
        <f t="shared" si="0"/>
        <v>209</v>
      </c>
      <c r="G16" s="18">
        <v>0</v>
      </c>
      <c r="H16" s="18">
        <v>0</v>
      </c>
      <c r="I16" s="18">
        <v>0</v>
      </c>
      <c r="J16" s="18">
        <f t="shared" si="1"/>
        <v>209</v>
      </c>
      <c r="K16" s="18">
        <f t="shared" si="2"/>
        <v>0</v>
      </c>
      <c r="L16" s="18">
        <f t="shared" si="3"/>
        <v>0</v>
      </c>
      <c r="M16" s="18">
        <f t="shared" si="4"/>
        <v>209</v>
      </c>
      <c r="N16" s="29">
        <f t="shared" si="5"/>
        <v>510391.60590000008</v>
      </c>
      <c r="P16" s="37">
        <f t="shared" si="6"/>
        <v>510391.60590000008</v>
      </c>
      <c r="Q16" s="37">
        <f t="shared" si="7"/>
        <v>0</v>
      </c>
      <c r="R16" s="37">
        <f t="shared" si="8"/>
        <v>0</v>
      </c>
      <c r="S16" s="37"/>
      <c r="T16" s="37"/>
      <c r="U16" s="37">
        <f t="shared" si="9"/>
        <v>-15259.803336339774</v>
      </c>
      <c r="V16" s="37">
        <f t="shared" si="10"/>
        <v>0</v>
      </c>
      <c r="W16" s="37">
        <f t="shared" si="11"/>
        <v>0</v>
      </c>
      <c r="X16" s="37"/>
      <c r="Y16" s="18">
        <f t="shared" si="12"/>
        <v>495131.80256366031</v>
      </c>
      <c r="Z16" s="37">
        <f t="shared" si="13"/>
        <v>0</v>
      </c>
      <c r="AA16" s="37">
        <f t="shared" si="14"/>
        <v>0</v>
      </c>
      <c r="AB16" s="37">
        <f t="shared" si="15"/>
        <v>495131.80256366031</v>
      </c>
    </row>
    <row r="17" spans="1:28" x14ac:dyDescent="0.2">
      <c r="A17" s="18" t="s">
        <v>54</v>
      </c>
      <c r="B17" s="19">
        <v>5201</v>
      </c>
      <c r="C17" s="18">
        <v>392</v>
      </c>
      <c r="D17" s="18">
        <v>0</v>
      </c>
      <c r="E17" s="18">
        <v>0</v>
      </c>
      <c r="F17" s="18">
        <f t="shared" si="0"/>
        <v>392</v>
      </c>
      <c r="G17" s="18">
        <v>0</v>
      </c>
      <c r="H17" s="18">
        <v>0</v>
      </c>
      <c r="I17" s="18">
        <v>0</v>
      </c>
      <c r="J17" s="18">
        <f t="shared" si="1"/>
        <v>392</v>
      </c>
      <c r="K17" s="18">
        <f t="shared" si="2"/>
        <v>0</v>
      </c>
      <c r="L17" s="18">
        <f t="shared" si="3"/>
        <v>0</v>
      </c>
      <c r="M17" s="18">
        <f t="shared" si="4"/>
        <v>392</v>
      </c>
      <c r="N17" s="29">
        <f t="shared" si="5"/>
        <v>957289.5192000001</v>
      </c>
      <c r="P17" s="37">
        <f t="shared" si="6"/>
        <v>957289.5192000001</v>
      </c>
      <c r="Q17" s="37">
        <f t="shared" si="7"/>
        <v>0</v>
      </c>
      <c r="R17" s="37">
        <f t="shared" si="8"/>
        <v>0</v>
      </c>
      <c r="S17" s="37"/>
      <c r="T17" s="37"/>
      <c r="U17" s="37">
        <f t="shared" si="9"/>
        <v>-28621.257932273642</v>
      </c>
      <c r="V17" s="37">
        <f t="shared" si="10"/>
        <v>0</v>
      </c>
      <c r="W17" s="37">
        <f t="shared" si="11"/>
        <v>0</v>
      </c>
      <c r="X17" s="37"/>
      <c r="Y17" s="18">
        <f t="shared" si="12"/>
        <v>928668.26126772643</v>
      </c>
      <c r="Z17" s="37">
        <f t="shared" si="13"/>
        <v>0</v>
      </c>
      <c r="AA17" s="37">
        <f t="shared" si="14"/>
        <v>0</v>
      </c>
      <c r="AB17" s="37">
        <f t="shared" si="15"/>
        <v>928668.26126772643</v>
      </c>
    </row>
    <row r="18" spans="1:28" x14ac:dyDescent="0.2">
      <c r="A18" s="18" t="s">
        <v>157</v>
      </c>
      <c r="B18" s="19">
        <v>2007</v>
      </c>
      <c r="C18" s="18">
        <v>259</v>
      </c>
      <c r="D18" s="18">
        <v>0</v>
      </c>
      <c r="E18" s="18">
        <v>0</v>
      </c>
      <c r="F18" s="18">
        <f t="shared" si="0"/>
        <v>259</v>
      </c>
      <c r="G18" s="18">
        <v>0</v>
      </c>
      <c r="H18" s="18">
        <v>0</v>
      </c>
      <c r="I18" s="18">
        <v>0</v>
      </c>
      <c r="J18" s="18">
        <f t="shared" si="1"/>
        <v>259</v>
      </c>
      <c r="K18" s="18">
        <f t="shared" si="2"/>
        <v>0</v>
      </c>
      <c r="L18" s="18">
        <f t="shared" si="3"/>
        <v>0</v>
      </c>
      <c r="M18" s="18">
        <f t="shared" si="4"/>
        <v>259</v>
      </c>
      <c r="N18" s="29">
        <f t="shared" si="5"/>
        <v>632494.86090000009</v>
      </c>
      <c r="P18" s="37">
        <f t="shared" si="6"/>
        <v>632494.86090000009</v>
      </c>
      <c r="Q18" s="37">
        <f t="shared" si="7"/>
        <v>0</v>
      </c>
      <c r="R18" s="37">
        <f t="shared" si="8"/>
        <v>0</v>
      </c>
      <c r="S18" s="37" t="s">
        <v>950</v>
      </c>
      <c r="T18" s="37"/>
      <c r="U18" s="37"/>
      <c r="V18" s="37"/>
      <c r="W18" s="37"/>
      <c r="X18" s="37" t="s">
        <v>950</v>
      </c>
      <c r="Y18" s="18">
        <f t="shared" si="12"/>
        <v>632494.86090000009</v>
      </c>
      <c r="Z18" s="37">
        <f t="shared" si="13"/>
        <v>0</v>
      </c>
      <c r="AA18" s="37">
        <f t="shared" si="14"/>
        <v>0</v>
      </c>
      <c r="AB18" s="37">
        <f t="shared" si="15"/>
        <v>632494.86090000009</v>
      </c>
    </row>
    <row r="19" spans="1:28" x14ac:dyDescent="0.2">
      <c r="A19" s="18" t="s">
        <v>56</v>
      </c>
      <c r="B19" s="19">
        <v>2433</v>
      </c>
      <c r="C19" s="18">
        <v>192</v>
      </c>
      <c r="D19" s="18">
        <v>0</v>
      </c>
      <c r="E19" s="18">
        <v>0</v>
      </c>
      <c r="F19" s="18">
        <f t="shared" si="0"/>
        <v>192</v>
      </c>
      <c r="G19" s="18">
        <v>23</v>
      </c>
      <c r="H19" s="18">
        <v>0</v>
      </c>
      <c r="I19" s="18">
        <v>0</v>
      </c>
      <c r="J19" s="18">
        <f t="shared" si="1"/>
        <v>169</v>
      </c>
      <c r="K19" s="18">
        <f t="shared" si="2"/>
        <v>0</v>
      </c>
      <c r="L19" s="18">
        <f t="shared" si="3"/>
        <v>0</v>
      </c>
      <c r="M19" s="18">
        <f t="shared" si="4"/>
        <v>169</v>
      </c>
      <c r="N19" s="29">
        <f t="shared" si="5"/>
        <v>412709.00190000003</v>
      </c>
      <c r="P19" s="37">
        <f t="shared" si="6"/>
        <v>412709.00190000003</v>
      </c>
      <c r="Q19" s="37">
        <f t="shared" si="7"/>
        <v>0</v>
      </c>
      <c r="R19" s="37">
        <f t="shared" si="8"/>
        <v>0</v>
      </c>
      <c r="S19" s="37"/>
      <c r="T19" s="37"/>
      <c r="U19" s="37">
        <f t="shared" si="9"/>
        <v>-12339.266812638381</v>
      </c>
      <c r="V19" s="37">
        <f t="shared" si="10"/>
        <v>0</v>
      </c>
      <c r="W19" s="37">
        <f t="shared" si="11"/>
        <v>0</v>
      </c>
      <c r="X19" s="37"/>
      <c r="Y19" s="18">
        <f t="shared" si="12"/>
        <v>400369.73508736165</v>
      </c>
      <c r="Z19" s="37">
        <f t="shared" si="13"/>
        <v>0</v>
      </c>
      <c r="AA19" s="37">
        <f t="shared" si="14"/>
        <v>0</v>
      </c>
      <c r="AB19" s="37">
        <f t="shared" si="15"/>
        <v>400369.73508736165</v>
      </c>
    </row>
    <row r="20" spans="1:28" x14ac:dyDescent="0.2">
      <c r="A20" s="18" t="s">
        <v>57</v>
      </c>
      <c r="B20" s="19">
        <v>2432</v>
      </c>
      <c r="C20" s="18">
        <v>233</v>
      </c>
      <c r="D20" s="18">
        <v>0</v>
      </c>
      <c r="E20" s="18">
        <v>0</v>
      </c>
      <c r="F20" s="18">
        <f t="shared" si="0"/>
        <v>233</v>
      </c>
      <c r="G20" s="18">
        <v>34</v>
      </c>
      <c r="H20" s="18">
        <v>0</v>
      </c>
      <c r="I20" s="18">
        <v>0</v>
      </c>
      <c r="J20" s="18">
        <f t="shared" si="1"/>
        <v>199</v>
      </c>
      <c r="K20" s="18">
        <f t="shared" si="2"/>
        <v>0</v>
      </c>
      <c r="L20" s="18">
        <f t="shared" si="3"/>
        <v>0</v>
      </c>
      <c r="M20" s="18">
        <f t="shared" si="4"/>
        <v>199</v>
      </c>
      <c r="N20" s="29">
        <f t="shared" si="5"/>
        <v>485970.95490000007</v>
      </c>
      <c r="P20" s="37">
        <f t="shared" si="6"/>
        <v>485970.95490000007</v>
      </c>
      <c r="Q20" s="37">
        <f t="shared" si="7"/>
        <v>0</v>
      </c>
      <c r="R20" s="37">
        <f t="shared" si="8"/>
        <v>0</v>
      </c>
      <c r="S20" s="37"/>
      <c r="T20" s="37"/>
      <c r="U20" s="37">
        <f t="shared" si="9"/>
        <v>-14529.669205414426</v>
      </c>
      <c r="V20" s="37">
        <f t="shared" si="10"/>
        <v>0</v>
      </c>
      <c r="W20" s="37">
        <f t="shared" si="11"/>
        <v>0</v>
      </c>
      <c r="X20" s="37"/>
      <c r="Y20" s="18">
        <f t="shared" si="12"/>
        <v>471441.28569458565</v>
      </c>
      <c r="Z20" s="37">
        <f t="shared" si="13"/>
        <v>0</v>
      </c>
      <c r="AA20" s="37">
        <f t="shared" si="14"/>
        <v>0</v>
      </c>
      <c r="AB20" s="37">
        <f t="shared" si="15"/>
        <v>471441.28569458565</v>
      </c>
    </row>
    <row r="21" spans="1:28" x14ac:dyDescent="0.2">
      <c r="A21" s="18" t="s">
        <v>59</v>
      </c>
      <c r="B21" s="19">
        <v>2447</v>
      </c>
      <c r="C21" s="18">
        <f>225+177</f>
        <v>402</v>
      </c>
      <c r="D21" s="18">
        <v>0</v>
      </c>
      <c r="E21" s="18">
        <v>0</v>
      </c>
      <c r="F21" s="18">
        <f t="shared" si="0"/>
        <v>402</v>
      </c>
      <c r="G21" s="18">
        <v>0</v>
      </c>
      <c r="H21" s="18">
        <v>0</v>
      </c>
      <c r="I21" s="18">
        <v>0</v>
      </c>
      <c r="J21" s="18">
        <f t="shared" si="1"/>
        <v>402</v>
      </c>
      <c r="K21" s="18">
        <f t="shared" si="2"/>
        <v>0</v>
      </c>
      <c r="L21" s="18">
        <f t="shared" si="3"/>
        <v>0</v>
      </c>
      <c r="M21" s="18">
        <f t="shared" si="4"/>
        <v>402</v>
      </c>
      <c r="N21" s="29">
        <f t="shared" si="5"/>
        <v>981710.17020000005</v>
      </c>
      <c r="P21" s="37">
        <f t="shared" si="6"/>
        <v>981710.17020000005</v>
      </c>
      <c r="Q21" s="37">
        <f t="shared" si="7"/>
        <v>0</v>
      </c>
      <c r="R21" s="37">
        <f t="shared" si="8"/>
        <v>0</v>
      </c>
      <c r="S21" s="37"/>
      <c r="T21" s="37"/>
      <c r="U21" s="37">
        <f>U$5*$J21</f>
        <v>-29351.392063198993</v>
      </c>
      <c r="V21" s="37">
        <f t="shared" si="10"/>
        <v>0</v>
      </c>
      <c r="W21" s="37">
        <f t="shared" si="11"/>
        <v>0</v>
      </c>
      <c r="X21" s="37"/>
      <c r="Y21" s="18">
        <f t="shared" si="12"/>
        <v>952358.77813680109</v>
      </c>
      <c r="Z21" s="37">
        <f t="shared" si="13"/>
        <v>0</v>
      </c>
      <c r="AA21" s="37">
        <f t="shared" si="14"/>
        <v>0</v>
      </c>
      <c r="AB21" s="37">
        <f t="shared" si="15"/>
        <v>952358.77813680109</v>
      </c>
    </row>
    <row r="22" spans="1:28" x14ac:dyDescent="0.2">
      <c r="A22" s="18" t="s">
        <v>60</v>
      </c>
      <c r="B22" s="19">
        <v>2512</v>
      </c>
      <c r="C22" s="18">
        <v>208</v>
      </c>
      <c r="D22" s="18">
        <v>0</v>
      </c>
      <c r="E22" s="18">
        <v>0</v>
      </c>
      <c r="F22" s="18">
        <f t="shared" si="0"/>
        <v>208</v>
      </c>
      <c r="G22" s="18">
        <v>0</v>
      </c>
      <c r="H22" s="18">
        <v>0</v>
      </c>
      <c r="I22" s="18">
        <v>0</v>
      </c>
      <c r="J22" s="18">
        <f t="shared" si="1"/>
        <v>208</v>
      </c>
      <c r="K22" s="18">
        <f t="shared" si="2"/>
        <v>0</v>
      </c>
      <c r="L22" s="18">
        <f t="shared" si="3"/>
        <v>0</v>
      </c>
      <c r="M22" s="18">
        <f t="shared" si="4"/>
        <v>208</v>
      </c>
      <c r="N22" s="29">
        <f t="shared" si="5"/>
        <v>507949.54080000008</v>
      </c>
      <c r="P22" s="37">
        <f t="shared" si="6"/>
        <v>507949.54080000008</v>
      </c>
      <c r="Q22" s="37">
        <f t="shared" si="7"/>
        <v>0</v>
      </c>
      <c r="R22" s="37">
        <f t="shared" si="8"/>
        <v>0</v>
      </c>
      <c r="S22" s="37"/>
      <c r="T22" s="37"/>
      <c r="U22" s="37">
        <f t="shared" si="9"/>
        <v>-15186.789923247239</v>
      </c>
      <c r="V22" s="37">
        <f t="shared" si="10"/>
        <v>0</v>
      </c>
      <c r="W22" s="37">
        <f t="shared" si="11"/>
        <v>0</v>
      </c>
      <c r="X22" s="37"/>
      <c r="Y22" s="18">
        <f t="shared" si="12"/>
        <v>492762.75087675283</v>
      </c>
      <c r="Z22" s="37">
        <f t="shared" si="13"/>
        <v>0</v>
      </c>
      <c r="AA22" s="37">
        <f t="shared" si="14"/>
        <v>0</v>
      </c>
      <c r="AB22" s="37">
        <f t="shared" si="15"/>
        <v>492762.75087675283</v>
      </c>
    </row>
    <row r="23" spans="1:28" x14ac:dyDescent="0.2">
      <c r="A23" s="18" t="s">
        <v>61</v>
      </c>
      <c r="B23" s="19">
        <v>2456</v>
      </c>
      <c r="C23" s="18">
        <v>178</v>
      </c>
      <c r="D23" s="18">
        <v>0</v>
      </c>
      <c r="E23" s="18">
        <v>0</v>
      </c>
      <c r="F23" s="18">
        <f t="shared" si="0"/>
        <v>178</v>
      </c>
      <c r="G23" s="18">
        <v>0</v>
      </c>
      <c r="H23" s="18">
        <v>0</v>
      </c>
      <c r="I23" s="18">
        <v>0</v>
      </c>
      <c r="J23" s="18">
        <f t="shared" si="1"/>
        <v>178</v>
      </c>
      <c r="K23" s="18">
        <f t="shared" si="2"/>
        <v>0</v>
      </c>
      <c r="L23" s="18">
        <f t="shared" si="3"/>
        <v>0</v>
      </c>
      <c r="M23" s="18">
        <f t="shared" si="4"/>
        <v>178</v>
      </c>
      <c r="N23" s="29">
        <f t="shared" si="5"/>
        <v>434687.58780000004</v>
      </c>
      <c r="P23" s="37">
        <f t="shared" si="6"/>
        <v>434687.58780000004</v>
      </c>
      <c r="Q23" s="37">
        <f t="shared" si="7"/>
        <v>0</v>
      </c>
      <c r="R23" s="37">
        <f t="shared" si="8"/>
        <v>0</v>
      </c>
      <c r="S23" s="37"/>
      <c r="T23" s="37"/>
      <c r="U23" s="37">
        <f t="shared" si="9"/>
        <v>-12996.387530471195</v>
      </c>
      <c r="V23" s="37">
        <f t="shared" si="10"/>
        <v>0</v>
      </c>
      <c r="W23" s="37">
        <f t="shared" si="11"/>
        <v>0</v>
      </c>
      <c r="X23" s="37"/>
      <c r="Y23" s="18">
        <f t="shared" si="12"/>
        <v>421691.20026952884</v>
      </c>
      <c r="Z23" s="37">
        <f t="shared" si="13"/>
        <v>0</v>
      </c>
      <c r="AA23" s="37">
        <f t="shared" si="14"/>
        <v>0</v>
      </c>
      <c r="AB23" s="37">
        <f t="shared" si="15"/>
        <v>421691.20026952884</v>
      </c>
    </row>
    <row r="24" spans="1:28" x14ac:dyDescent="0.2">
      <c r="A24" s="18" t="s">
        <v>62</v>
      </c>
      <c r="B24" s="19">
        <v>2449</v>
      </c>
      <c r="C24" s="18">
        <v>268</v>
      </c>
      <c r="D24" s="18">
        <v>0</v>
      </c>
      <c r="E24" s="18">
        <v>0</v>
      </c>
      <c r="F24" s="18">
        <f t="shared" si="0"/>
        <v>268</v>
      </c>
      <c r="G24" s="18">
        <v>0</v>
      </c>
      <c r="H24" s="18">
        <v>0</v>
      </c>
      <c r="I24" s="18">
        <v>0</v>
      </c>
      <c r="J24" s="18">
        <f t="shared" si="1"/>
        <v>268</v>
      </c>
      <c r="K24" s="18">
        <f t="shared" si="2"/>
        <v>0</v>
      </c>
      <c r="L24" s="18">
        <f t="shared" si="3"/>
        <v>0</v>
      </c>
      <c r="M24" s="18">
        <f t="shared" si="4"/>
        <v>268</v>
      </c>
      <c r="N24" s="29">
        <f t="shared" si="5"/>
        <v>654473.44680000003</v>
      </c>
      <c r="P24" s="37">
        <f t="shared" si="6"/>
        <v>654473.44680000003</v>
      </c>
      <c r="Q24" s="37">
        <f t="shared" si="7"/>
        <v>0</v>
      </c>
      <c r="R24" s="37">
        <f t="shared" si="8"/>
        <v>0</v>
      </c>
      <c r="S24" s="37"/>
      <c r="T24" s="37"/>
      <c r="U24" s="37">
        <f t="shared" si="9"/>
        <v>-19567.594708799326</v>
      </c>
      <c r="V24" s="37">
        <f t="shared" si="10"/>
        <v>0</v>
      </c>
      <c r="W24" s="37">
        <f t="shared" si="11"/>
        <v>0</v>
      </c>
      <c r="X24" s="37"/>
      <c r="Y24" s="18">
        <f t="shared" si="12"/>
        <v>634905.85209120065</v>
      </c>
      <c r="Z24" s="37">
        <f t="shared" si="13"/>
        <v>0</v>
      </c>
      <c r="AA24" s="37">
        <f t="shared" si="14"/>
        <v>0</v>
      </c>
      <c r="AB24" s="37">
        <f t="shared" si="15"/>
        <v>634905.85209120065</v>
      </c>
    </row>
    <row r="25" spans="1:28" x14ac:dyDescent="0.2">
      <c r="A25" s="18" t="s">
        <v>63</v>
      </c>
      <c r="B25" s="19">
        <v>2448</v>
      </c>
      <c r="C25" s="18">
        <v>311</v>
      </c>
      <c r="D25" s="18">
        <v>0</v>
      </c>
      <c r="E25" s="18">
        <v>0</v>
      </c>
      <c r="F25" s="18">
        <f t="shared" si="0"/>
        <v>311</v>
      </c>
      <c r="G25" s="18">
        <v>0</v>
      </c>
      <c r="H25" s="18">
        <v>0</v>
      </c>
      <c r="I25" s="18">
        <v>0</v>
      </c>
      <c r="J25" s="18">
        <f t="shared" si="1"/>
        <v>311</v>
      </c>
      <c r="K25" s="18">
        <f t="shared" si="2"/>
        <v>0</v>
      </c>
      <c r="L25" s="18">
        <f t="shared" si="3"/>
        <v>0</v>
      </c>
      <c r="M25" s="18">
        <f t="shared" si="4"/>
        <v>311</v>
      </c>
      <c r="N25" s="29">
        <f t="shared" si="5"/>
        <v>759482.24610000011</v>
      </c>
      <c r="P25" s="37">
        <f t="shared" si="6"/>
        <v>759482.24610000011</v>
      </c>
      <c r="Q25" s="37">
        <f t="shared" si="7"/>
        <v>0</v>
      </c>
      <c r="R25" s="37">
        <f t="shared" si="8"/>
        <v>0</v>
      </c>
      <c r="S25" s="37"/>
      <c r="T25" s="37"/>
      <c r="U25" s="37">
        <f t="shared" si="9"/>
        <v>-22707.171471778325</v>
      </c>
      <c r="V25" s="37">
        <f t="shared" si="10"/>
        <v>0</v>
      </c>
      <c r="W25" s="37">
        <f t="shared" si="11"/>
        <v>0</v>
      </c>
      <c r="X25" s="37"/>
      <c r="Y25" s="18">
        <f t="shared" si="12"/>
        <v>736775.0746282218</v>
      </c>
      <c r="Z25" s="37">
        <f t="shared" si="13"/>
        <v>0</v>
      </c>
      <c r="AA25" s="37">
        <f t="shared" si="14"/>
        <v>0</v>
      </c>
      <c r="AB25" s="37">
        <f t="shared" si="15"/>
        <v>736775.0746282218</v>
      </c>
    </row>
    <row r="26" spans="1:28" x14ac:dyDescent="0.2">
      <c r="A26" s="18" t="s">
        <v>158</v>
      </c>
      <c r="B26" s="19">
        <v>2467</v>
      </c>
      <c r="C26" s="18">
        <v>362</v>
      </c>
      <c r="D26" s="18">
        <v>0</v>
      </c>
      <c r="E26" s="18">
        <v>0</v>
      </c>
      <c r="F26" s="18">
        <f t="shared" si="0"/>
        <v>362</v>
      </c>
      <c r="G26" s="18">
        <v>0</v>
      </c>
      <c r="H26" s="18">
        <v>0</v>
      </c>
      <c r="I26" s="18">
        <v>0</v>
      </c>
      <c r="J26" s="18">
        <f t="shared" si="1"/>
        <v>362</v>
      </c>
      <c r="K26" s="18">
        <f t="shared" si="2"/>
        <v>0</v>
      </c>
      <c r="L26" s="18">
        <f t="shared" si="3"/>
        <v>0</v>
      </c>
      <c r="M26" s="18">
        <f t="shared" si="4"/>
        <v>362</v>
      </c>
      <c r="N26" s="29">
        <f t="shared" si="5"/>
        <v>884027.56620000012</v>
      </c>
      <c r="P26" s="37">
        <f t="shared" si="6"/>
        <v>884027.56620000012</v>
      </c>
      <c r="Q26" s="37">
        <f t="shared" si="7"/>
        <v>0</v>
      </c>
      <c r="R26" s="37">
        <f t="shared" si="8"/>
        <v>0</v>
      </c>
      <c r="S26" s="37"/>
      <c r="T26" s="37"/>
      <c r="U26" s="37">
        <f t="shared" si="9"/>
        <v>-26430.855539497599</v>
      </c>
      <c r="V26" s="37">
        <f t="shared" si="10"/>
        <v>0</v>
      </c>
      <c r="W26" s="37">
        <f t="shared" si="11"/>
        <v>0</v>
      </c>
      <c r="X26" s="37"/>
      <c r="Y26" s="18">
        <f t="shared" si="12"/>
        <v>857596.71066050255</v>
      </c>
      <c r="Z26" s="37">
        <f t="shared" si="13"/>
        <v>0</v>
      </c>
      <c r="AA26" s="37">
        <f t="shared" si="14"/>
        <v>0</v>
      </c>
      <c r="AB26" s="37">
        <f t="shared" si="15"/>
        <v>857596.71066050255</v>
      </c>
    </row>
    <row r="27" spans="1:28" x14ac:dyDescent="0.2">
      <c r="A27" s="18" t="s">
        <v>65</v>
      </c>
      <c r="B27" s="19">
        <v>2455</v>
      </c>
      <c r="C27" s="18">
        <v>355</v>
      </c>
      <c r="D27" s="18">
        <v>0</v>
      </c>
      <c r="E27" s="18">
        <v>0</v>
      </c>
      <c r="F27" s="18">
        <f t="shared" si="0"/>
        <v>355</v>
      </c>
      <c r="G27" s="18">
        <v>0</v>
      </c>
      <c r="H27" s="18">
        <v>0</v>
      </c>
      <c r="I27" s="18">
        <v>0</v>
      </c>
      <c r="J27" s="18">
        <f t="shared" si="1"/>
        <v>355</v>
      </c>
      <c r="K27" s="18">
        <f t="shared" si="2"/>
        <v>0</v>
      </c>
      <c r="L27" s="18">
        <f t="shared" si="3"/>
        <v>0</v>
      </c>
      <c r="M27" s="18">
        <f t="shared" si="4"/>
        <v>355</v>
      </c>
      <c r="N27" s="29">
        <f t="shared" si="5"/>
        <v>866933.11050000007</v>
      </c>
      <c r="P27" s="37">
        <f t="shared" si="6"/>
        <v>866933.11050000007</v>
      </c>
      <c r="Q27" s="37">
        <f t="shared" si="7"/>
        <v>0</v>
      </c>
      <c r="R27" s="37">
        <f t="shared" si="8"/>
        <v>0</v>
      </c>
      <c r="S27" s="37"/>
      <c r="T27" s="37"/>
      <c r="U27" s="37">
        <f t="shared" si="9"/>
        <v>-25919.761647849857</v>
      </c>
      <c r="V27" s="37">
        <f t="shared" si="10"/>
        <v>0</v>
      </c>
      <c r="W27" s="37">
        <f t="shared" si="11"/>
        <v>0</v>
      </c>
      <c r="X27" s="37"/>
      <c r="Y27" s="18">
        <f t="shared" si="12"/>
        <v>841013.34885215026</v>
      </c>
      <c r="Z27" s="37">
        <f t="shared" si="13"/>
        <v>0</v>
      </c>
      <c r="AA27" s="37">
        <f t="shared" si="14"/>
        <v>0</v>
      </c>
      <c r="AB27" s="37">
        <f t="shared" si="15"/>
        <v>841013.34885215026</v>
      </c>
    </row>
    <row r="28" spans="1:28" x14ac:dyDescent="0.2">
      <c r="A28" s="18" t="s">
        <v>66</v>
      </c>
      <c r="B28" s="19">
        <v>5203</v>
      </c>
      <c r="C28" s="18">
        <v>480</v>
      </c>
      <c r="D28" s="18">
        <v>0</v>
      </c>
      <c r="E28" s="18">
        <v>0</v>
      </c>
      <c r="F28" s="18">
        <f t="shared" si="0"/>
        <v>480</v>
      </c>
      <c r="G28" s="18">
        <v>0</v>
      </c>
      <c r="H28" s="18">
        <v>0</v>
      </c>
      <c r="I28" s="18">
        <v>0</v>
      </c>
      <c r="J28" s="18">
        <f t="shared" si="1"/>
        <v>480</v>
      </c>
      <c r="K28" s="18">
        <f t="shared" si="2"/>
        <v>0</v>
      </c>
      <c r="L28" s="18">
        <f t="shared" si="3"/>
        <v>0</v>
      </c>
      <c r="M28" s="18">
        <f t="shared" si="4"/>
        <v>480</v>
      </c>
      <c r="N28" s="29">
        <f t="shared" si="5"/>
        <v>1172191.2480000001</v>
      </c>
      <c r="P28" s="37">
        <f t="shared" si="6"/>
        <v>1172191.2480000001</v>
      </c>
      <c r="Q28" s="37">
        <f t="shared" si="7"/>
        <v>0</v>
      </c>
      <c r="R28" s="37">
        <f t="shared" si="8"/>
        <v>0</v>
      </c>
      <c r="S28" s="37"/>
      <c r="T28" s="37"/>
      <c r="U28" s="37">
        <f t="shared" si="9"/>
        <v>-35046.438284416705</v>
      </c>
      <c r="V28" s="37">
        <f t="shared" si="10"/>
        <v>0</v>
      </c>
      <c r="W28" s="37">
        <f t="shared" si="11"/>
        <v>0</v>
      </c>
      <c r="X28" s="37"/>
      <c r="Y28" s="18">
        <f t="shared" si="12"/>
        <v>1137144.8097155835</v>
      </c>
      <c r="Z28" s="37">
        <f t="shared" si="13"/>
        <v>0</v>
      </c>
      <c r="AA28" s="37">
        <f t="shared" si="14"/>
        <v>0</v>
      </c>
      <c r="AB28" s="37">
        <f t="shared" si="15"/>
        <v>1137144.8097155835</v>
      </c>
    </row>
    <row r="29" spans="1:28" x14ac:dyDescent="0.2">
      <c r="A29" s="18" t="s">
        <v>67</v>
      </c>
      <c r="B29" s="19">
        <v>2451</v>
      </c>
      <c r="C29" s="18">
        <v>473</v>
      </c>
      <c r="D29" s="18">
        <v>0</v>
      </c>
      <c r="E29" s="18">
        <v>0</v>
      </c>
      <c r="F29" s="18">
        <f t="shared" si="0"/>
        <v>473</v>
      </c>
      <c r="G29" s="18">
        <v>0</v>
      </c>
      <c r="H29" s="18">
        <v>0</v>
      </c>
      <c r="I29" s="18">
        <v>0</v>
      </c>
      <c r="J29" s="18">
        <f t="shared" si="1"/>
        <v>473</v>
      </c>
      <c r="K29" s="18">
        <f t="shared" si="2"/>
        <v>0</v>
      </c>
      <c r="L29" s="18">
        <f t="shared" si="3"/>
        <v>0</v>
      </c>
      <c r="M29" s="18">
        <f t="shared" si="4"/>
        <v>473</v>
      </c>
      <c r="N29" s="29">
        <f t="shared" si="5"/>
        <v>1155096.7923000001</v>
      </c>
      <c r="P29" s="37">
        <f t="shared" si="6"/>
        <v>1155096.7923000001</v>
      </c>
      <c r="Q29" s="37">
        <f t="shared" si="7"/>
        <v>0</v>
      </c>
      <c r="R29" s="37">
        <f t="shared" si="8"/>
        <v>0</v>
      </c>
      <c r="S29" s="37"/>
      <c r="T29" s="37"/>
      <c r="U29" s="37">
        <f t="shared" si="9"/>
        <v>-34535.344392768966</v>
      </c>
      <c r="V29" s="37">
        <f t="shared" si="10"/>
        <v>0</v>
      </c>
      <c r="W29" s="37">
        <f t="shared" si="11"/>
        <v>0</v>
      </c>
      <c r="X29" s="37"/>
      <c r="Y29" s="18">
        <f t="shared" si="12"/>
        <v>1120561.447907231</v>
      </c>
      <c r="Z29" s="37">
        <f t="shared" si="13"/>
        <v>0</v>
      </c>
      <c r="AA29" s="37">
        <f t="shared" si="14"/>
        <v>0</v>
      </c>
      <c r="AB29" s="37">
        <f t="shared" si="15"/>
        <v>1120561.447907231</v>
      </c>
    </row>
    <row r="30" spans="1:28" x14ac:dyDescent="0.2">
      <c r="A30" s="18" t="s">
        <v>68</v>
      </c>
      <c r="B30" s="19">
        <v>2409</v>
      </c>
      <c r="C30" s="18">
        <v>551</v>
      </c>
      <c r="D30" s="18">
        <v>0</v>
      </c>
      <c r="E30" s="18">
        <v>0</v>
      </c>
      <c r="F30" s="18">
        <f t="shared" si="0"/>
        <v>551</v>
      </c>
      <c r="G30" s="18">
        <v>0</v>
      </c>
      <c r="H30" s="18">
        <v>0</v>
      </c>
      <c r="I30" s="18">
        <v>0</v>
      </c>
      <c r="J30" s="18">
        <f t="shared" si="1"/>
        <v>551</v>
      </c>
      <c r="K30" s="18">
        <f t="shared" si="2"/>
        <v>0</v>
      </c>
      <c r="L30" s="18">
        <f t="shared" si="3"/>
        <v>0</v>
      </c>
      <c r="M30" s="18">
        <f t="shared" si="4"/>
        <v>551</v>
      </c>
      <c r="N30" s="29">
        <f t="shared" si="5"/>
        <v>1345577.8701000002</v>
      </c>
      <c r="P30" s="37">
        <f t="shared" si="6"/>
        <v>1345577.8701000002</v>
      </c>
      <c r="Q30" s="37">
        <f t="shared" si="7"/>
        <v>0</v>
      </c>
      <c r="R30" s="37">
        <f t="shared" si="8"/>
        <v>0</v>
      </c>
      <c r="S30" s="37"/>
      <c r="T30" s="37"/>
      <c r="U30" s="37">
        <f t="shared" si="9"/>
        <v>-40230.390613986674</v>
      </c>
      <c r="V30" s="37">
        <f t="shared" si="10"/>
        <v>0</v>
      </c>
      <c r="W30" s="37">
        <f t="shared" si="11"/>
        <v>0</v>
      </c>
      <c r="X30" s="37"/>
      <c r="Y30" s="18">
        <f t="shared" si="12"/>
        <v>1305347.4794860135</v>
      </c>
      <c r="Z30" s="37">
        <f t="shared" si="13"/>
        <v>0</v>
      </c>
      <c r="AA30" s="37">
        <f t="shared" si="14"/>
        <v>0</v>
      </c>
      <c r="AB30" s="37">
        <f t="shared" si="15"/>
        <v>1305347.4794860135</v>
      </c>
    </row>
    <row r="31" spans="1:28" x14ac:dyDescent="0.2">
      <c r="A31" s="18" t="s">
        <v>159</v>
      </c>
      <c r="B31" s="19">
        <v>3158</v>
      </c>
      <c r="C31" s="18">
        <v>117</v>
      </c>
      <c r="D31" s="18">
        <v>0</v>
      </c>
      <c r="E31" s="18">
        <v>0</v>
      </c>
      <c r="F31" s="18">
        <f t="shared" si="0"/>
        <v>117</v>
      </c>
      <c r="G31" s="18">
        <v>0</v>
      </c>
      <c r="H31" s="18">
        <v>0</v>
      </c>
      <c r="I31" s="18">
        <v>0</v>
      </c>
      <c r="J31" s="18">
        <f t="shared" si="1"/>
        <v>117</v>
      </c>
      <c r="K31" s="18">
        <f t="shared" si="2"/>
        <v>0</v>
      </c>
      <c r="L31" s="18">
        <f t="shared" si="3"/>
        <v>0</v>
      </c>
      <c r="M31" s="18">
        <f t="shared" si="4"/>
        <v>117</v>
      </c>
      <c r="N31" s="29">
        <f t="shared" si="5"/>
        <v>285721.61670000001</v>
      </c>
      <c r="P31" s="37">
        <f t="shared" si="6"/>
        <v>285721.61670000001</v>
      </c>
      <c r="Q31" s="37">
        <f t="shared" si="7"/>
        <v>0</v>
      </c>
      <c r="R31" s="37">
        <f t="shared" si="8"/>
        <v>0</v>
      </c>
      <c r="S31" s="37"/>
      <c r="T31" s="37"/>
      <c r="U31" s="37">
        <f t="shared" si="9"/>
        <v>-8542.569331826573</v>
      </c>
      <c r="V31" s="37">
        <f t="shared" si="10"/>
        <v>0</v>
      </c>
      <c r="W31" s="37">
        <f t="shared" si="11"/>
        <v>0</v>
      </c>
      <c r="X31" s="37"/>
      <c r="Y31" s="18">
        <f t="shared" si="12"/>
        <v>277179.04736817343</v>
      </c>
      <c r="Z31" s="37">
        <f t="shared" si="13"/>
        <v>0</v>
      </c>
      <c r="AA31" s="37">
        <f t="shared" si="14"/>
        <v>0</v>
      </c>
      <c r="AB31" s="37">
        <f t="shared" si="15"/>
        <v>277179.04736817343</v>
      </c>
    </row>
    <row r="32" spans="1:28" x14ac:dyDescent="0.2">
      <c r="A32" s="18" t="s">
        <v>69</v>
      </c>
      <c r="B32" s="19">
        <v>2619</v>
      </c>
      <c r="C32" s="18">
        <v>199</v>
      </c>
      <c r="D32" s="18">
        <v>0</v>
      </c>
      <c r="E32" s="18">
        <v>0</v>
      </c>
      <c r="F32" s="18">
        <f t="shared" si="0"/>
        <v>199</v>
      </c>
      <c r="G32" s="18">
        <v>0</v>
      </c>
      <c r="H32" s="18">
        <v>0</v>
      </c>
      <c r="I32" s="18">
        <v>0</v>
      </c>
      <c r="J32" s="18">
        <f t="shared" si="1"/>
        <v>199</v>
      </c>
      <c r="K32" s="18">
        <f t="shared" si="2"/>
        <v>0</v>
      </c>
      <c r="L32" s="18">
        <f t="shared" si="3"/>
        <v>0</v>
      </c>
      <c r="M32" s="18">
        <f t="shared" si="4"/>
        <v>199</v>
      </c>
      <c r="N32" s="29">
        <f t="shared" si="5"/>
        <v>485970.95490000007</v>
      </c>
      <c r="P32" s="37">
        <f t="shared" si="6"/>
        <v>485970.95490000007</v>
      </c>
      <c r="Q32" s="37">
        <f t="shared" si="7"/>
        <v>0</v>
      </c>
      <c r="R32" s="37">
        <f t="shared" si="8"/>
        <v>0</v>
      </c>
      <c r="S32" s="37"/>
      <c r="T32" s="37"/>
      <c r="U32" s="37">
        <f t="shared" si="9"/>
        <v>-14529.669205414426</v>
      </c>
      <c r="V32" s="37">
        <f t="shared" si="10"/>
        <v>0</v>
      </c>
      <c r="W32" s="37">
        <f t="shared" si="11"/>
        <v>0</v>
      </c>
      <c r="X32" s="37"/>
      <c r="Y32" s="18">
        <f t="shared" si="12"/>
        <v>471441.28569458565</v>
      </c>
      <c r="Z32" s="37">
        <f t="shared" si="13"/>
        <v>0</v>
      </c>
      <c r="AA32" s="37">
        <f t="shared" si="14"/>
        <v>0</v>
      </c>
      <c r="AB32" s="37">
        <f t="shared" si="15"/>
        <v>471441.28569458565</v>
      </c>
    </row>
    <row r="33" spans="1:28" x14ac:dyDescent="0.2">
      <c r="A33" s="18" t="s">
        <v>70</v>
      </c>
      <c r="B33" s="19">
        <v>2518</v>
      </c>
      <c r="C33" s="18">
        <v>297</v>
      </c>
      <c r="D33" s="18">
        <v>0</v>
      </c>
      <c r="E33" s="18">
        <v>0</v>
      </c>
      <c r="F33" s="18">
        <f t="shared" si="0"/>
        <v>297</v>
      </c>
      <c r="G33" s="18">
        <v>0</v>
      </c>
      <c r="H33" s="18">
        <v>0</v>
      </c>
      <c r="I33" s="18">
        <v>0</v>
      </c>
      <c r="J33" s="18">
        <f t="shared" si="1"/>
        <v>297</v>
      </c>
      <c r="K33" s="18">
        <f t="shared" si="2"/>
        <v>0</v>
      </c>
      <c r="L33" s="18">
        <f t="shared" si="3"/>
        <v>0</v>
      </c>
      <c r="M33" s="18">
        <f t="shared" si="4"/>
        <v>297</v>
      </c>
      <c r="N33" s="29">
        <f t="shared" si="5"/>
        <v>725293.33470000012</v>
      </c>
      <c r="P33" s="37">
        <f t="shared" si="6"/>
        <v>725293.33470000012</v>
      </c>
      <c r="Q33" s="37">
        <f t="shared" si="7"/>
        <v>0</v>
      </c>
      <c r="R33" s="37">
        <f t="shared" si="8"/>
        <v>0</v>
      </c>
      <c r="S33" s="37"/>
      <c r="T33" s="37"/>
      <c r="U33" s="37">
        <f t="shared" si="9"/>
        <v>-21684.983688482836</v>
      </c>
      <c r="V33" s="37">
        <f t="shared" si="10"/>
        <v>0</v>
      </c>
      <c r="W33" s="37">
        <f t="shared" si="11"/>
        <v>0</v>
      </c>
      <c r="X33" s="37"/>
      <c r="Y33" s="18">
        <f t="shared" si="12"/>
        <v>703608.35101151734</v>
      </c>
      <c r="Z33" s="37">
        <f t="shared" si="13"/>
        <v>0</v>
      </c>
      <c r="AA33" s="37">
        <f t="shared" si="14"/>
        <v>0</v>
      </c>
      <c r="AB33" s="37">
        <f t="shared" si="15"/>
        <v>703608.35101151734</v>
      </c>
    </row>
    <row r="34" spans="1:28" x14ac:dyDescent="0.2">
      <c r="A34" s="18" t="s">
        <v>71</v>
      </c>
      <c r="B34" s="19">
        <v>2457</v>
      </c>
      <c r="C34" s="18">
        <v>358</v>
      </c>
      <c r="D34" s="18">
        <v>0</v>
      </c>
      <c r="E34" s="18">
        <v>0</v>
      </c>
      <c r="F34" s="18">
        <f t="shared" si="0"/>
        <v>358</v>
      </c>
      <c r="G34" s="18">
        <v>0</v>
      </c>
      <c r="H34" s="18">
        <v>0</v>
      </c>
      <c r="I34" s="18">
        <v>0</v>
      </c>
      <c r="J34" s="18">
        <f t="shared" si="1"/>
        <v>358</v>
      </c>
      <c r="K34" s="18">
        <f t="shared" si="2"/>
        <v>0</v>
      </c>
      <c r="L34" s="18">
        <f t="shared" si="3"/>
        <v>0</v>
      </c>
      <c r="M34" s="18">
        <f t="shared" si="4"/>
        <v>358</v>
      </c>
      <c r="N34" s="29">
        <f t="shared" si="5"/>
        <v>874259.30580000009</v>
      </c>
      <c r="P34" s="37">
        <f t="shared" si="6"/>
        <v>874259.30580000009</v>
      </c>
      <c r="Q34" s="37">
        <f t="shared" si="7"/>
        <v>0</v>
      </c>
      <c r="R34" s="37">
        <f t="shared" si="8"/>
        <v>0</v>
      </c>
      <c r="S34" s="37"/>
      <c r="T34" s="37"/>
      <c r="U34" s="37">
        <f t="shared" si="9"/>
        <v>-26138.801887127462</v>
      </c>
      <c r="V34" s="37">
        <f t="shared" si="10"/>
        <v>0</v>
      </c>
      <c r="W34" s="37">
        <f t="shared" si="11"/>
        <v>0</v>
      </c>
      <c r="X34" s="37"/>
      <c r="Y34" s="18">
        <f t="shared" si="12"/>
        <v>848120.50391287263</v>
      </c>
      <c r="Z34" s="37">
        <f t="shared" si="13"/>
        <v>0</v>
      </c>
      <c r="AA34" s="37">
        <f t="shared" si="14"/>
        <v>0</v>
      </c>
      <c r="AB34" s="37">
        <f t="shared" si="15"/>
        <v>848120.50391287263</v>
      </c>
    </row>
    <row r="35" spans="1:28" x14ac:dyDescent="0.2">
      <c r="A35" s="18" t="s">
        <v>160</v>
      </c>
      <c r="B35" s="220">
        <v>2010</v>
      </c>
      <c r="C35" s="18">
        <v>193</v>
      </c>
      <c r="D35" s="18">
        <v>0</v>
      </c>
      <c r="E35" s="18">
        <v>0</v>
      </c>
      <c r="F35" s="18">
        <f t="shared" si="0"/>
        <v>193</v>
      </c>
      <c r="G35" s="18">
        <v>0</v>
      </c>
      <c r="H35" s="18">
        <v>0</v>
      </c>
      <c r="I35" s="18">
        <v>0</v>
      </c>
      <c r="J35" s="18">
        <f t="shared" si="1"/>
        <v>193</v>
      </c>
      <c r="K35" s="18">
        <f t="shared" si="2"/>
        <v>0</v>
      </c>
      <c r="L35" s="18">
        <f t="shared" si="3"/>
        <v>0</v>
      </c>
      <c r="M35" s="18">
        <f t="shared" si="4"/>
        <v>193</v>
      </c>
      <c r="N35" s="29">
        <f t="shared" si="5"/>
        <v>471318.56430000003</v>
      </c>
      <c r="P35" s="37">
        <f t="shared" si="6"/>
        <v>471318.56430000003</v>
      </c>
      <c r="Q35" s="37">
        <f t="shared" si="7"/>
        <v>0</v>
      </c>
      <c r="R35" s="37">
        <f t="shared" si="8"/>
        <v>0</v>
      </c>
      <c r="S35" s="37" t="s">
        <v>950</v>
      </c>
      <c r="T35" s="37"/>
      <c r="U35" s="37"/>
      <c r="V35" s="37"/>
      <c r="W35" s="37"/>
      <c r="X35" s="37" t="s">
        <v>950</v>
      </c>
      <c r="Y35" s="18">
        <f t="shared" si="12"/>
        <v>471318.56430000003</v>
      </c>
      <c r="Z35" s="37">
        <f t="shared" si="13"/>
        <v>0</v>
      </c>
      <c r="AA35" s="37">
        <f t="shared" si="14"/>
        <v>0</v>
      </c>
      <c r="AB35" s="37">
        <f t="shared" si="15"/>
        <v>471318.56430000003</v>
      </c>
    </row>
    <row r="36" spans="1:28" x14ac:dyDescent="0.2">
      <c r="A36" s="18" t="s">
        <v>73</v>
      </c>
      <c r="B36" s="19">
        <v>2002</v>
      </c>
      <c r="C36" s="18">
        <v>426</v>
      </c>
      <c r="D36" s="18">
        <v>0</v>
      </c>
      <c r="E36" s="18">
        <v>0</v>
      </c>
      <c r="F36" s="18">
        <f t="shared" si="0"/>
        <v>426</v>
      </c>
      <c r="G36" s="18">
        <v>0</v>
      </c>
      <c r="H36" s="18">
        <v>0</v>
      </c>
      <c r="I36" s="18">
        <v>0</v>
      </c>
      <c r="J36" s="18">
        <f t="shared" si="1"/>
        <v>426</v>
      </c>
      <c r="K36" s="18">
        <f t="shared" si="2"/>
        <v>0</v>
      </c>
      <c r="L36" s="18">
        <f t="shared" si="3"/>
        <v>0</v>
      </c>
      <c r="M36" s="18">
        <f t="shared" si="4"/>
        <v>426</v>
      </c>
      <c r="N36" s="29">
        <f t="shared" si="5"/>
        <v>1040319.7326000001</v>
      </c>
      <c r="P36" s="37">
        <f t="shared" si="6"/>
        <v>1040319.7326000001</v>
      </c>
      <c r="Q36" s="37">
        <f t="shared" si="7"/>
        <v>0</v>
      </c>
      <c r="R36" s="37">
        <f t="shared" si="8"/>
        <v>0</v>
      </c>
      <c r="S36" s="37"/>
      <c r="T36" s="37"/>
      <c r="U36" s="37">
        <f t="shared" si="9"/>
        <v>-31103.713977419826</v>
      </c>
      <c r="V36" s="37">
        <f t="shared" si="10"/>
        <v>0</v>
      </c>
      <c r="W36" s="37">
        <f t="shared" si="11"/>
        <v>0</v>
      </c>
      <c r="X36" s="37"/>
      <c r="Y36" s="18">
        <f t="shared" si="12"/>
        <v>1009216.0186225803</v>
      </c>
      <c r="Z36" s="37">
        <f t="shared" si="13"/>
        <v>0</v>
      </c>
      <c r="AA36" s="37">
        <f t="shared" si="14"/>
        <v>0</v>
      </c>
      <c r="AB36" s="37">
        <f t="shared" si="15"/>
        <v>1009216.0186225803</v>
      </c>
    </row>
    <row r="37" spans="1:28" x14ac:dyDescent="0.2">
      <c r="A37" s="18" t="s">
        <v>74</v>
      </c>
      <c r="B37" s="19">
        <v>3544</v>
      </c>
      <c r="C37" s="18">
        <v>537</v>
      </c>
      <c r="D37" s="18">
        <v>0</v>
      </c>
      <c r="E37" s="18">
        <v>0</v>
      </c>
      <c r="F37" s="18">
        <f t="shared" si="0"/>
        <v>537</v>
      </c>
      <c r="G37" s="18">
        <v>0</v>
      </c>
      <c r="H37" s="18">
        <v>0</v>
      </c>
      <c r="I37" s="18">
        <v>0</v>
      </c>
      <c r="J37" s="18">
        <f t="shared" si="1"/>
        <v>537</v>
      </c>
      <c r="K37" s="18">
        <f t="shared" si="2"/>
        <v>0</v>
      </c>
      <c r="L37" s="18">
        <f t="shared" si="3"/>
        <v>0</v>
      </c>
      <c r="M37" s="18">
        <f t="shared" si="4"/>
        <v>537</v>
      </c>
      <c r="N37" s="29">
        <f t="shared" si="5"/>
        <v>1311388.9587000001</v>
      </c>
      <c r="P37" s="37">
        <f t="shared" si="6"/>
        <v>1311388.9587000001</v>
      </c>
      <c r="Q37" s="37">
        <f t="shared" si="7"/>
        <v>0</v>
      </c>
      <c r="R37" s="37">
        <f t="shared" si="8"/>
        <v>0</v>
      </c>
      <c r="S37" s="37"/>
      <c r="T37" s="37"/>
      <c r="U37" s="37">
        <f t="shared" si="9"/>
        <v>-39208.202830691189</v>
      </c>
      <c r="V37" s="37">
        <f t="shared" si="10"/>
        <v>0</v>
      </c>
      <c r="W37" s="37">
        <f t="shared" si="11"/>
        <v>0</v>
      </c>
      <c r="X37" s="37"/>
      <c r="Y37" s="18">
        <f t="shared" si="12"/>
        <v>1272180.755869309</v>
      </c>
      <c r="Z37" s="37">
        <f t="shared" si="13"/>
        <v>0</v>
      </c>
      <c r="AA37" s="37">
        <f t="shared" si="14"/>
        <v>0</v>
      </c>
      <c r="AB37" s="37">
        <f t="shared" si="15"/>
        <v>1272180.755869309</v>
      </c>
    </row>
    <row r="38" spans="1:28" x14ac:dyDescent="0.2">
      <c r="A38" s="18" t="s">
        <v>161</v>
      </c>
      <c r="B38" s="19">
        <v>2006</v>
      </c>
      <c r="C38" s="18">
        <v>246</v>
      </c>
      <c r="D38" s="18">
        <v>0</v>
      </c>
      <c r="E38" s="18">
        <v>0</v>
      </c>
      <c r="F38" s="18">
        <f t="shared" si="0"/>
        <v>246</v>
      </c>
      <c r="G38" s="18">
        <v>0</v>
      </c>
      <c r="H38" s="18">
        <v>0</v>
      </c>
      <c r="I38" s="18">
        <v>0</v>
      </c>
      <c r="J38" s="18">
        <f t="shared" si="1"/>
        <v>246</v>
      </c>
      <c r="K38" s="18">
        <f t="shared" si="2"/>
        <v>0</v>
      </c>
      <c r="L38" s="18">
        <f t="shared" si="3"/>
        <v>0</v>
      </c>
      <c r="M38" s="18">
        <f t="shared" si="4"/>
        <v>246</v>
      </c>
      <c r="N38" s="29">
        <f t="shared" si="5"/>
        <v>600748.01460000011</v>
      </c>
      <c r="P38" s="37">
        <f t="shared" si="6"/>
        <v>600748.01460000011</v>
      </c>
      <c r="Q38" s="37">
        <f t="shared" si="7"/>
        <v>0</v>
      </c>
      <c r="R38" s="37">
        <f t="shared" si="8"/>
        <v>0</v>
      </c>
      <c r="S38" s="37"/>
      <c r="T38" s="37"/>
      <c r="U38" s="37">
        <f t="shared" si="9"/>
        <v>-17961.299620763562</v>
      </c>
      <c r="V38" s="37">
        <f t="shared" si="10"/>
        <v>0</v>
      </c>
      <c r="W38" s="37">
        <f t="shared" si="11"/>
        <v>0</v>
      </c>
      <c r="X38" s="37"/>
      <c r="Y38" s="18">
        <f t="shared" si="12"/>
        <v>582786.7149792366</v>
      </c>
      <c r="Z38" s="37">
        <f t="shared" si="13"/>
        <v>0</v>
      </c>
      <c r="AA38" s="37">
        <f t="shared" si="14"/>
        <v>0</v>
      </c>
      <c r="AB38" s="37">
        <f t="shared" si="15"/>
        <v>582786.7149792366</v>
      </c>
    </row>
    <row r="39" spans="1:28" x14ac:dyDescent="0.2">
      <c r="A39" s="18" t="s">
        <v>76</v>
      </c>
      <c r="B39" s="19">
        <v>2434</v>
      </c>
      <c r="C39" s="18">
        <v>443</v>
      </c>
      <c r="D39" s="18">
        <v>0</v>
      </c>
      <c r="E39" s="18">
        <v>0</v>
      </c>
      <c r="F39" s="18">
        <f t="shared" si="0"/>
        <v>443</v>
      </c>
      <c r="G39" s="18">
        <v>12</v>
      </c>
      <c r="H39" s="18">
        <v>0</v>
      </c>
      <c r="I39" s="18">
        <v>0</v>
      </c>
      <c r="J39" s="18">
        <f t="shared" si="1"/>
        <v>431</v>
      </c>
      <c r="K39" s="18">
        <f t="shared" si="2"/>
        <v>0</v>
      </c>
      <c r="L39" s="18">
        <f t="shared" si="3"/>
        <v>0</v>
      </c>
      <c r="M39" s="18">
        <f t="shared" si="4"/>
        <v>431</v>
      </c>
      <c r="N39" s="29">
        <f t="shared" si="5"/>
        <v>1052530.0581</v>
      </c>
      <c r="P39" s="37">
        <f t="shared" si="6"/>
        <v>1052530.0581</v>
      </c>
      <c r="Q39" s="37">
        <f t="shared" si="7"/>
        <v>0</v>
      </c>
      <c r="R39" s="37">
        <f t="shared" si="8"/>
        <v>0</v>
      </c>
      <c r="S39" s="37"/>
      <c r="T39" s="37"/>
      <c r="U39" s="37">
        <f t="shared" si="9"/>
        <v>-31468.7810428825</v>
      </c>
      <c r="V39" s="37">
        <f t="shared" si="10"/>
        <v>0</v>
      </c>
      <c r="W39" s="37">
        <f t="shared" si="11"/>
        <v>0</v>
      </c>
      <c r="X39" s="37"/>
      <c r="Y39" s="18">
        <f t="shared" si="12"/>
        <v>1021061.2770571175</v>
      </c>
      <c r="Z39" s="37">
        <f t="shared" si="13"/>
        <v>0</v>
      </c>
      <c r="AA39" s="37">
        <f t="shared" si="14"/>
        <v>0</v>
      </c>
      <c r="AB39" s="37">
        <f t="shared" si="15"/>
        <v>1021061.2770571175</v>
      </c>
    </row>
    <row r="40" spans="1:28" x14ac:dyDescent="0.2">
      <c r="A40" s="18" t="s">
        <v>77</v>
      </c>
      <c r="B40" s="19">
        <v>2522</v>
      </c>
      <c r="C40" s="18">
        <v>412</v>
      </c>
      <c r="D40" s="18">
        <v>0</v>
      </c>
      <c r="E40" s="18">
        <v>0</v>
      </c>
      <c r="F40" s="18">
        <f t="shared" si="0"/>
        <v>412</v>
      </c>
      <c r="G40" s="18">
        <v>0</v>
      </c>
      <c r="H40" s="18">
        <v>0</v>
      </c>
      <c r="I40" s="18">
        <v>0</v>
      </c>
      <c r="J40" s="18">
        <f t="shared" si="1"/>
        <v>412</v>
      </c>
      <c r="K40" s="18">
        <f t="shared" si="2"/>
        <v>0</v>
      </c>
      <c r="L40" s="18">
        <f t="shared" si="3"/>
        <v>0</v>
      </c>
      <c r="M40" s="18">
        <f t="shared" si="4"/>
        <v>412</v>
      </c>
      <c r="N40" s="29">
        <f t="shared" si="5"/>
        <v>1006130.8212000001</v>
      </c>
      <c r="P40" s="37">
        <f t="shared" si="6"/>
        <v>1006130.8212000001</v>
      </c>
      <c r="Q40" s="37">
        <f t="shared" si="7"/>
        <v>0</v>
      </c>
      <c r="R40" s="37">
        <f t="shared" si="8"/>
        <v>0</v>
      </c>
      <c r="S40" s="37"/>
      <c r="T40" s="37"/>
      <c r="U40" s="37">
        <f t="shared" si="9"/>
        <v>-30081.526194124341</v>
      </c>
      <c r="V40" s="37">
        <f t="shared" si="10"/>
        <v>0</v>
      </c>
      <c r="W40" s="37">
        <f t="shared" si="11"/>
        <v>0</v>
      </c>
      <c r="X40" s="37"/>
      <c r="Y40" s="18">
        <f t="shared" si="12"/>
        <v>976049.29500587576</v>
      </c>
      <c r="Z40" s="37">
        <f t="shared" si="13"/>
        <v>0</v>
      </c>
      <c r="AA40" s="37">
        <f t="shared" si="14"/>
        <v>0</v>
      </c>
      <c r="AB40" s="37">
        <f t="shared" si="15"/>
        <v>976049.29500587576</v>
      </c>
    </row>
    <row r="41" spans="1:28" x14ac:dyDescent="0.2">
      <c r="A41" s="18" t="s">
        <v>78</v>
      </c>
      <c r="B41" s="19">
        <v>2436</v>
      </c>
      <c r="C41" s="18">
        <v>324</v>
      </c>
      <c r="D41" s="18">
        <v>0</v>
      </c>
      <c r="E41" s="18">
        <v>0</v>
      </c>
      <c r="F41" s="18">
        <f t="shared" si="0"/>
        <v>324</v>
      </c>
      <c r="G41" s="18">
        <v>3</v>
      </c>
      <c r="H41" s="18">
        <v>0</v>
      </c>
      <c r="I41" s="18">
        <v>0</v>
      </c>
      <c r="J41" s="18">
        <f t="shared" si="1"/>
        <v>321</v>
      </c>
      <c r="K41" s="18">
        <f t="shared" si="2"/>
        <v>0</v>
      </c>
      <c r="L41" s="18">
        <f t="shared" si="3"/>
        <v>0</v>
      </c>
      <c r="M41" s="18">
        <f t="shared" si="4"/>
        <v>321</v>
      </c>
      <c r="N41" s="29">
        <f t="shared" si="5"/>
        <v>783902.89710000006</v>
      </c>
      <c r="P41" s="37">
        <f t="shared" si="6"/>
        <v>783902.89710000006</v>
      </c>
      <c r="Q41" s="37">
        <f t="shared" si="7"/>
        <v>0</v>
      </c>
      <c r="R41" s="37">
        <f t="shared" si="8"/>
        <v>0</v>
      </c>
      <c r="S41" s="37"/>
      <c r="T41" s="37"/>
      <c r="U41" s="37">
        <f t="shared" si="9"/>
        <v>-23437.305602703673</v>
      </c>
      <c r="V41" s="37">
        <f t="shared" si="10"/>
        <v>0</v>
      </c>
      <c r="W41" s="37">
        <f t="shared" si="11"/>
        <v>0</v>
      </c>
      <c r="X41" s="37"/>
      <c r="Y41" s="18">
        <f t="shared" si="12"/>
        <v>760465.59149729635</v>
      </c>
      <c r="Z41" s="37">
        <f t="shared" si="13"/>
        <v>0</v>
      </c>
      <c r="AA41" s="37">
        <f t="shared" si="14"/>
        <v>0</v>
      </c>
      <c r="AB41" s="37">
        <f t="shared" si="15"/>
        <v>760465.59149729635</v>
      </c>
    </row>
    <row r="42" spans="1:28" x14ac:dyDescent="0.2">
      <c r="A42" s="18" t="s">
        <v>79</v>
      </c>
      <c r="B42" s="19">
        <v>2452</v>
      </c>
      <c r="C42" s="18">
        <v>207</v>
      </c>
      <c r="D42" s="18">
        <v>0</v>
      </c>
      <c r="E42" s="18">
        <v>0</v>
      </c>
      <c r="F42" s="18">
        <f t="shared" si="0"/>
        <v>207</v>
      </c>
      <c r="G42" s="18">
        <v>0</v>
      </c>
      <c r="H42" s="18">
        <v>0</v>
      </c>
      <c r="I42" s="18">
        <v>0</v>
      </c>
      <c r="J42" s="18">
        <f t="shared" si="1"/>
        <v>207</v>
      </c>
      <c r="K42" s="18">
        <f t="shared" si="2"/>
        <v>0</v>
      </c>
      <c r="L42" s="18">
        <f t="shared" si="3"/>
        <v>0</v>
      </c>
      <c r="M42" s="18">
        <f t="shared" si="4"/>
        <v>207</v>
      </c>
      <c r="N42" s="29">
        <f>SUM(J42*$J$1)+SUM(K42*$K$3)+SUM(L42*$L$4)</f>
        <v>505507.47570000007</v>
      </c>
      <c r="P42" s="37">
        <f t="shared" si="6"/>
        <v>505507.47570000007</v>
      </c>
      <c r="Q42" s="37">
        <f t="shared" si="7"/>
        <v>0</v>
      </c>
      <c r="R42" s="37">
        <f t="shared" si="8"/>
        <v>0</v>
      </c>
      <c r="S42" s="37"/>
      <c r="T42" s="37"/>
      <c r="U42" s="37">
        <f t="shared" si="9"/>
        <v>-15113.776510154705</v>
      </c>
      <c r="V42" s="37">
        <f t="shared" si="10"/>
        <v>0</v>
      </c>
      <c r="W42" s="37">
        <f t="shared" si="11"/>
        <v>0</v>
      </c>
      <c r="X42" s="37"/>
      <c r="Y42" s="18">
        <f t="shared" si="12"/>
        <v>490393.69918984536</v>
      </c>
      <c r="Z42" s="37">
        <f t="shared" si="13"/>
        <v>0</v>
      </c>
      <c r="AA42" s="37">
        <f t="shared" si="14"/>
        <v>0</v>
      </c>
      <c r="AB42" s="37">
        <f t="shared" si="15"/>
        <v>490393.69918984536</v>
      </c>
    </row>
    <row r="43" spans="1:28" x14ac:dyDescent="0.2">
      <c r="A43" s="18" t="s">
        <v>80</v>
      </c>
      <c r="B43" s="19">
        <v>2627</v>
      </c>
      <c r="C43" s="18">
        <v>388</v>
      </c>
      <c r="D43" s="18">
        <v>0</v>
      </c>
      <c r="E43" s="18">
        <v>0</v>
      </c>
      <c r="F43" s="18">
        <f t="shared" si="0"/>
        <v>388</v>
      </c>
      <c r="G43" s="18">
        <v>0</v>
      </c>
      <c r="H43" s="18">
        <v>0</v>
      </c>
      <c r="I43" s="18">
        <v>0</v>
      </c>
      <c r="J43" s="18">
        <f t="shared" si="1"/>
        <v>388</v>
      </c>
      <c r="K43" s="18">
        <f t="shared" si="2"/>
        <v>0</v>
      </c>
      <c r="L43" s="18">
        <f t="shared" si="3"/>
        <v>0</v>
      </c>
      <c r="M43" s="18">
        <f t="shared" si="4"/>
        <v>388</v>
      </c>
      <c r="N43" s="29">
        <f t="shared" si="5"/>
        <v>947521.25880000007</v>
      </c>
      <c r="P43" s="37">
        <f t="shared" si="6"/>
        <v>947521.25880000007</v>
      </c>
      <c r="Q43" s="37">
        <f t="shared" si="7"/>
        <v>0</v>
      </c>
      <c r="R43" s="37">
        <f t="shared" si="8"/>
        <v>0</v>
      </c>
      <c r="S43" s="37"/>
      <c r="T43" s="37"/>
      <c r="U43" s="37">
        <f t="shared" si="9"/>
        <v>-28329.204279903504</v>
      </c>
      <c r="V43" s="37">
        <f t="shared" si="10"/>
        <v>0</v>
      </c>
      <c r="W43" s="37">
        <f t="shared" si="11"/>
        <v>0</v>
      </c>
      <c r="X43" s="37"/>
      <c r="Y43" s="18">
        <f t="shared" si="12"/>
        <v>919192.05452009651</v>
      </c>
      <c r="Z43" s="37">
        <f t="shared" si="13"/>
        <v>0</v>
      </c>
      <c r="AA43" s="37">
        <f t="shared" si="14"/>
        <v>0</v>
      </c>
      <c r="AB43" s="37">
        <f t="shared" si="15"/>
        <v>919192.05452009651</v>
      </c>
    </row>
    <row r="44" spans="1:28" x14ac:dyDescent="0.2">
      <c r="A44" s="18" t="s">
        <v>81</v>
      </c>
      <c r="B44" s="19">
        <v>2009</v>
      </c>
      <c r="C44" s="18">
        <v>276</v>
      </c>
      <c r="D44" s="18">
        <v>0</v>
      </c>
      <c r="E44" s="18">
        <v>0</v>
      </c>
      <c r="F44" s="18">
        <f t="shared" si="0"/>
        <v>276</v>
      </c>
      <c r="G44" s="18">
        <v>0</v>
      </c>
      <c r="H44" s="18">
        <v>0</v>
      </c>
      <c r="I44" s="18">
        <v>0</v>
      </c>
      <c r="J44" s="18">
        <f t="shared" si="1"/>
        <v>276</v>
      </c>
      <c r="K44" s="18">
        <f t="shared" si="2"/>
        <v>0</v>
      </c>
      <c r="L44" s="18">
        <f t="shared" si="3"/>
        <v>0</v>
      </c>
      <c r="M44" s="18">
        <f t="shared" si="4"/>
        <v>276</v>
      </c>
      <c r="N44" s="29">
        <f t="shared" si="5"/>
        <v>674009.96760000009</v>
      </c>
      <c r="P44" s="37">
        <f t="shared" si="6"/>
        <v>674009.96760000009</v>
      </c>
      <c r="Q44" s="37">
        <f t="shared" si="7"/>
        <v>0</v>
      </c>
      <c r="R44" s="37">
        <f t="shared" si="8"/>
        <v>0</v>
      </c>
      <c r="S44" s="37" t="s">
        <v>950</v>
      </c>
      <c r="T44" s="37"/>
      <c r="U44" s="37"/>
      <c r="V44" s="37"/>
      <c r="W44" s="37"/>
      <c r="X44" s="37" t="s">
        <v>950</v>
      </c>
      <c r="Y44" s="18">
        <f t="shared" si="12"/>
        <v>674009.96760000009</v>
      </c>
      <c r="Z44" s="37">
        <f t="shared" si="13"/>
        <v>0</v>
      </c>
      <c r="AA44" s="37">
        <f t="shared" si="14"/>
        <v>0</v>
      </c>
      <c r="AB44" s="37">
        <f t="shared" si="15"/>
        <v>674009.96760000009</v>
      </c>
    </row>
    <row r="45" spans="1:28" x14ac:dyDescent="0.2">
      <c r="A45" s="18" t="s">
        <v>162</v>
      </c>
      <c r="B45" s="19">
        <v>2473</v>
      </c>
      <c r="C45" s="18">
        <v>267</v>
      </c>
      <c r="D45" s="18">
        <v>0</v>
      </c>
      <c r="E45" s="18">
        <v>0</v>
      </c>
      <c r="F45" s="18">
        <f t="shared" si="0"/>
        <v>267</v>
      </c>
      <c r="G45" s="18">
        <v>0</v>
      </c>
      <c r="H45" s="18">
        <v>0</v>
      </c>
      <c r="I45" s="18">
        <v>0</v>
      </c>
      <c r="J45" s="18">
        <f t="shared" si="1"/>
        <v>267</v>
      </c>
      <c r="K45" s="18">
        <f t="shared" si="2"/>
        <v>0</v>
      </c>
      <c r="L45" s="18">
        <f t="shared" si="3"/>
        <v>0</v>
      </c>
      <c r="M45" s="18">
        <f t="shared" si="4"/>
        <v>267</v>
      </c>
      <c r="N45" s="29">
        <f>SUM(J45*$J$1)+SUM(K45*$K$3)+SUM(L45*$L$4)</f>
        <v>652031.38170000003</v>
      </c>
      <c r="P45" s="37">
        <f t="shared" si="6"/>
        <v>652031.38170000003</v>
      </c>
      <c r="Q45" s="37">
        <f t="shared" si="7"/>
        <v>0</v>
      </c>
      <c r="R45" s="37">
        <f t="shared" si="8"/>
        <v>0</v>
      </c>
      <c r="S45" s="37"/>
      <c r="T45" s="37"/>
      <c r="U45" s="37">
        <f t="shared" si="9"/>
        <v>-19494.581295706794</v>
      </c>
      <c r="V45" s="37">
        <f t="shared" si="10"/>
        <v>0</v>
      </c>
      <c r="W45" s="37">
        <f t="shared" si="11"/>
        <v>0</v>
      </c>
      <c r="X45" s="37"/>
      <c r="Y45" s="18">
        <f t="shared" si="12"/>
        <v>632536.80040429323</v>
      </c>
      <c r="Z45" s="37">
        <f t="shared" si="13"/>
        <v>0</v>
      </c>
      <c r="AA45" s="37">
        <f t="shared" si="14"/>
        <v>0</v>
      </c>
      <c r="AB45" s="37">
        <f t="shared" si="15"/>
        <v>632536.80040429323</v>
      </c>
    </row>
    <row r="46" spans="1:28" x14ac:dyDescent="0.2">
      <c r="A46" s="18" t="s">
        <v>84</v>
      </c>
      <c r="B46" s="19">
        <v>2471</v>
      </c>
      <c r="C46" s="18">
        <v>346</v>
      </c>
      <c r="D46" s="18">
        <v>0</v>
      </c>
      <c r="E46" s="18">
        <v>0</v>
      </c>
      <c r="F46" s="18">
        <f t="shared" si="0"/>
        <v>346</v>
      </c>
      <c r="G46" s="18">
        <v>0</v>
      </c>
      <c r="H46" s="18">
        <v>0</v>
      </c>
      <c r="I46" s="18">
        <v>0</v>
      </c>
      <c r="J46" s="18">
        <f t="shared" si="1"/>
        <v>346</v>
      </c>
      <c r="K46" s="18">
        <f t="shared" si="2"/>
        <v>0</v>
      </c>
      <c r="L46" s="18">
        <f t="shared" si="3"/>
        <v>0</v>
      </c>
      <c r="M46" s="18">
        <f t="shared" si="4"/>
        <v>346</v>
      </c>
      <c r="N46" s="29">
        <f t="shared" si="5"/>
        <v>844954.52460000012</v>
      </c>
      <c r="P46" s="37">
        <f t="shared" si="6"/>
        <v>844954.52460000012</v>
      </c>
      <c r="Q46" s="37">
        <f t="shared" si="7"/>
        <v>0</v>
      </c>
      <c r="R46" s="37">
        <f t="shared" si="8"/>
        <v>0</v>
      </c>
      <c r="S46" s="37"/>
      <c r="T46" s="37"/>
      <c r="U46" s="37">
        <f t="shared" si="9"/>
        <v>-25262.640930017042</v>
      </c>
      <c r="V46" s="37">
        <f t="shared" si="10"/>
        <v>0</v>
      </c>
      <c r="W46" s="37">
        <f t="shared" si="11"/>
        <v>0</v>
      </c>
      <c r="X46" s="37"/>
      <c r="Y46" s="18">
        <f t="shared" si="12"/>
        <v>819691.88366998313</v>
      </c>
      <c r="Z46" s="37">
        <f t="shared" si="13"/>
        <v>0</v>
      </c>
      <c r="AA46" s="37">
        <f t="shared" si="14"/>
        <v>0</v>
      </c>
      <c r="AB46" s="37">
        <f t="shared" si="15"/>
        <v>819691.88366998313</v>
      </c>
    </row>
    <row r="47" spans="1:28" x14ac:dyDescent="0.2">
      <c r="A47" s="18" t="s">
        <v>82</v>
      </c>
      <c r="B47" s="19">
        <v>2420</v>
      </c>
      <c r="C47" s="18">
        <v>465</v>
      </c>
      <c r="D47" s="18">
        <v>0</v>
      </c>
      <c r="E47" s="18">
        <v>0</v>
      </c>
      <c r="F47" s="18">
        <f t="shared" si="0"/>
        <v>465</v>
      </c>
      <c r="G47" s="18">
        <v>0</v>
      </c>
      <c r="H47" s="18">
        <v>0</v>
      </c>
      <c r="I47" s="18">
        <v>0</v>
      </c>
      <c r="J47" s="18">
        <f t="shared" si="1"/>
        <v>465</v>
      </c>
      <c r="K47" s="18">
        <f t="shared" si="2"/>
        <v>0</v>
      </c>
      <c r="L47" s="18">
        <f t="shared" si="3"/>
        <v>0</v>
      </c>
      <c r="M47" s="18">
        <f t="shared" si="4"/>
        <v>465</v>
      </c>
      <c r="N47" s="29">
        <f t="shared" si="5"/>
        <v>1135560.2715</v>
      </c>
      <c r="P47" s="37">
        <f t="shared" si="6"/>
        <v>1135560.2715</v>
      </c>
      <c r="Q47" s="37">
        <f t="shared" si="7"/>
        <v>0</v>
      </c>
      <c r="R47" s="37">
        <f t="shared" si="8"/>
        <v>0</v>
      </c>
      <c r="S47" s="37"/>
      <c r="T47" s="37"/>
      <c r="U47" s="37">
        <f t="shared" si="9"/>
        <v>-33951.237088028684</v>
      </c>
      <c r="V47" s="37">
        <f t="shared" si="10"/>
        <v>0</v>
      </c>
      <c r="W47" s="37">
        <f t="shared" si="11"/>
        <v>0</v>
      </c>
      <c r="X47" s="37"/>
      <c r="Y47" s="18">
        <f t="shared" si="12"/>
        <v>1101609.0344119715</v>
      </c>
      <c r="Z47" s="37">
        <f t="shared" si="13"/>
        <v>0</v>
      </c>
      <c r="AA47" s="37">
        <f t="shared" si="14"/>
        <v>0</v>
      </c>
      <c r="AB47" s="37">
        <f t="shared" si="15"/>
        <v>1101609.0344119715</v>
      </c>
    </row>
    <row r="48" spans="1:28" x14ac:dyDescent="0.2">
      <c r="A48" s="18" t="s">
        <v>85</v>
      </c>
      <c r="B48" s="19">
        <v>2003</v>
      </c>
      <c r="C48" s="18">
        <v>208</v>
      </c>
      <c r="D48" s="18">
        <v>0</v>
      </c>
      <c r="E48" s="18">
        <v>0</v>
      </c>
      <c r="F48" s="18">
        <f t="shared" si="0"/>
        <v>208</v>
      </c>
      <c r="G48" s="18">
        <v>0</v>
      </c>
      <c r="H48" s="18">
        <v>0</v>
      </c>
      <c r="I48" s="18">
        <v>0</v>
      </c>
      <c r="J48" s="18">
        <f t="shared" si="1"/>
        <v>208</v>
      </c>
      <c r="K48" s="18">
        <f t="shared" si="2"/>
        <v>0</v>
      </c>
      <c r="L48" s="18">
        <f t="shared" si="3"/>
        <v>0</v>
      </c>
      <c r="M48" s="18">
        <f t="shared" si="4"/>
        <v>208</v>
      </c>
      <c r="N48" s="29">
        <f t="shared" si="5"/>
        <v>507949.54080000008</v>
      </c>
      <c r="P48" s="37">
        <f t="shared" si="6"/>
        <v>507949.54080000008</v>
      </c>
      <c r="Q48" s="37">
        <f t="shared" si="7"/>
        <v>0</v>
      </c>
      <c r="R48" s="37">
        <f t="shared" si="8"/>
        <v>0</v>
      </c>
      <c r="S48" s="37"/>
      <c r="T48" s="37"/>
      <c r="U48" s="37">
        <f t="shared" si="9"/>
        <v>-15186.789923247239</v>
      </c>
      <c r="V48" s="37">
        <f t="shared" si="10"/>
        <v>0</v>
      </c>
      <c r="W48" s="37">
        <f t="shared" si="11"/>
        <v>0</v>
      </c>
      <c r="X48" s="37"/>
      <c r="Y48" s="18">
        <f t="shared" si="12"/>
        <v>492762.75087675283</v>
      </c>
      <c r="Z48" s="37">
        <f t="shared" si="13"/>
        <v>0</v>
      </c>
      <c r="AA48" s="37">
        <f t="shared" si="14"/>
        <v>0</v>
      </c>
      <c r="AB48" s="37">
        <f t="shared" si="15"/>
        <v>492762.75087675283</v>
      </c>
    </row>
    <row r="49" spans="1:28" x14ac:dyDescent="0.2">
      <c r="A49" s="18" t="s">
        <v>86</v>
      </c>
      <c r="B49" s="19">
        <v>2423</v>
      </c>
      <c r="C49" s="18">
        <v>358</v>
      </c>
      <c r="D49" s="18">
        <v>0</v>
      </c>
      <c r="E49" s="18">
        <v>0</v>
      </c>
      <c r="F49" s="18">
        <f t="shared" si="0"/>
        <v>358</v>
      </c>
      <c r="G49" s="18">
        <v>0</v>
      </c>
      <c r="H49" s="18">
        <v>0</v>
      </c>
      <c r="I49" s="18">
        <v>0</v>
      </c>
      <c r="J49" s="18">
        <f t="shared" si="1"/>
        <v>358</v>
      </c>
      <c r="K49" s="18">
        <f t="shared" si="2"/>
        <v>0</v>
      </c>
      <c r="L49" s="18">
        <f t="shared" si="3"/>
        <v>0</v>
      </c>
      <c r="M49" s="18">
        <f t="shared" si="4"/>
        <v>358</v>
      </c>
      <c r="N49" s="29">
        <f t="shared" si="5"/>
        <v>874259.30580000009</v>
      </c>
      <c r="P49" s="37">
        <f t="shared" si="6"/>
        <v>874259.30580000009</v>
      </c>
      <c r="Q49" s="37">
        <f t="shared" si="7"/>
        <v>0</v>
      </c>
      <c r="R49" s="37">
        <f t="shared" si="8"/>
        <v>0</v>
      </c>
      <c r="S49" s="37"/>
      <c r="T49" s="37"/>
      <c r="U49" s="37">
        <f t="shared" si="9"/>
        <v>-26138.801887127462</v>
      </c>
      <c r="V49" s="37">
        <f t="shared" si="10"/>
        <v>0</v>
      </c>
      <c r="W49" s="37">
        <f t="shared" si="11"/>
        <v>0</v>
      </c>
      <c r="X49" s="37"/>
      <c r="Y49" s="18">
        <f t="shared" si="12"/>
        <v>848120.50391287263</v>
      </c>
      <c r="Z49" s="37">
        <f t="shared" si="13"/>
        <v>0</v>
      </c>
      <c r="AA49" s="37">
        <f t="shared" si="14"/>
        <v>0</v>
      </c>
      <c r="AB49" s="37">
        <f t="shared" si="15"/>
        <v>848120.50391287263</v>
      </c>
    </row>
    <row r="50" spans="1:28" x14ac:dyDescent="0.2">
      <c r="A50" s="18" t="s">
        <v>87</v>
      </c>
      <c r="B50" s="19">
        <v>2424</v>
      </c>
      <c r="C50" s="18">
        <v>267</v>
      </c>
      <c r="D50" s="18">
        <v>0</v>
      </c>
      <c r="E50" s="18">
        <v>0</v>
      </c>
      <c r="F50" s="18">
        <f t="shared" si="0"/>
        <v>267</v>
      </c>
      <c r="G50" s="18">
        <v>0</v>
      </c>
      <c r="H50" s="18">
        <v>0</v>
      </c>
      <c r="I50" s="18">
        <v>0</v>
      </c>
      <c r="J50" s="18">
        <f t="shared" si="1"/>
        <v>267</v>
      </c>
      <c r="K50" s="18">
        <f t="shared" si="2"/>
        <v>0</v>
      </c>
      <c r="L50" s="18">
        <f t="shared" si="3"/>
        <v>0</v>
      </c>
      <c r="M50" s="18">
        <f t="shared" si="4"/>
        <v>267</v>
      </c>
      <c r="N50" s="29">
        <f t="shared" si="5"/>
        <v>652031.38170000003</v>
      </c>
      <c r="P50" s="37">
        <f t="shared" si="6"/>
        <v>652031.38170000003</v>
      </c>
      <c r="Q50" s="37">
        <f t="shared" si="7"/>
        <v>0</v>
      </c>
      <c r="R50" s="37">
        <f t="shared" si="8"/>
        <v>0</v>
      </c>
      <c r="S50" s="37"/>
      <c r="T50" s="37"/>
      <c r="U50" s="37">
        <f t="shared" si="9"/>
        <v>-19494.581295706794</v>
      </c>
      <c r="V50" s="37">
        <f t="shared" si="10"/>
        <v>0</v>
      </c>
      <c r="W50" s="37">
        <f t="shared" si="11"/>
        <v>0</v>
      </c>
      <c r="X50" s="37"/>
      <c r="Y50" s="18">
        <f t="shared" si="12"/>
        <v>632536.80040429323</v>
      </c>
      <c r="Z50" s="37">
        <f t="shared" si="13"/>
        <v>0</v>
      </c>
      <c r="AA50" s="37">
        <f t="shared" si="14"/>
        <v>0</v>
      </c>
      <c r="AB50" s="37">
        <f t="shared" si="15"/>
        <v>632536.80040429323</v>
      </c>
    </row>
    <row r="51" spans="1:28" x14ac:dyDescent="0.2">
      <c r="A51" s="18" t="s">
        <v>88</v>
      </c>
      <c r="B51" s="19">
        <v>2439</v>
      </c>
      <c r="C51" s="18">
        <v>239</v>
      </c>
      <c r="D51" s="18">
        <v>0</v>
      </c>
      <c r="E51" s="18">
        <v>0</v>
      </c>
      <c r="F51" s="18">
        <f t="shared" si="0"/>
        <v>239</v>
      </c>
      <c r="G51" s="18">
        <v>0</v>
      </c>
      <c r="H51" s="18">
        <v>0</v>
      </c>
      <c r="I51" s="18">
        <v>0</v>
      </c>
      <c r="J51" s="18">
        <f t="shared" si="1"/>
        <v>239</v>
      </c>
      <c r="K51" s="18">
        <f t="shared" si="2"/>
        <v>0</v>
      </c>
      <c r="L51" s="18">
        <f t="shared" si="3"/>
        <v>0</v>
      </c>
      <c r="M51" s="18">
        <f t="shared" si="4"/>
        <v>239</v>
      </c>
      <c r="N51" s="29">
        <f t="shared" si="5"/>
        <v>583653.55890000006</v>
      </c>
      <c r="P51" s="37">
        <f t="shared" si="6"/>
        <v>583653.55890000006</v>
      </c>
      <c r="Q51" s="37">
        <f t="shared" si="7"/>
        <v>0</v>
      </c>
      <c r="R51" s="37">
        <f t="shared" si="8"/>
        <v>0</v>
      </c>
      <c r="S51" s="37"/>
      <c r="T51" s="37"/>
      <c r="U51" s="37">
        <f t="shared" si="9"/>
        <v>-17450.20572911582</v>
      </c>
      <c r="V51" s="37">
        <f t="shared" si="10"/>
        <v>0</v>
      </c>
      <c r="W51" s="37">
        <f t="shared" si="11"/>
        <v>0</v>
      </c>
      <c r="X51" s="37"/>
      <c r="Y51" s="18">
        <f t="shared" si="12"/>
        <v>566203.35317088419</v>
      </c>
      <c r="Z51" s="37">
        <f t="shared" si="13"/>
        <v>0</v>
      </c>
      <c r="AA51" s="37">
        <f t="shared" si="14"/>
        <v>0</v>
      </c>
      <c r="AB51" s="37">
        <f t="shared" si="15"/>
        <v>566203.35317088419</v>
      </c>
    </row>
    <row r="52" spans="1:28" x14ac:dyDescent="0.2">
      <c r="A52" s="18" t="s">
        <v>89</v>
      </c>
      <c r="B52" s="19">
        <v>2440</v>
      </c>
      <c r="C52" s="18">
        <v>291</v>
      </c>
      <c r="D52" s="18">
        <v>0</v>
      </c>
      <c r="E52" s="18">
        <v>0</v>
      </c>
      <c r="F52" s="18">
        <f t="shared" si="0"/>
        <v>291</v>
      </c>
      <c r="G52" s="18">
        <v>0</v>
      </c>
      <c r="H52" s="18">
        <v>0</v>
      </c>
      <c r="I52" s="18">
        <v>0</v>
      </c>
      <c r="J52" s="18">
        <f t="shared" si="1"/>
        <v>291</v>
      </c>
      <c r="K52" s="18">
        <f t="shared" si="2"/>
        <v>0</v>
      </c>
      <c r="L52" s="18">
        <f t="shared" si="3"/>
        <v>0</v>
      </c>
      <c r="M52" s="18">
        <f t="shared" si="4"/>
        <v>291</v>
      </c>
      <c r="N52" s="29">
        <f t="shared" si="5"/>
        <v>710640.94410000008</v>
      </c>
      <c r="P52" s="37">
        <f t="shared" si="6"/>
        <v>710640.94410000008</v>
      </c>
      <c r="Q52" s="37">
        <f t="shared" si="7"/>
        <v>0</v>
      </c>
      <c r="R52" s="37">
        <f t="shared" si="8"/>
        <v>0</v>
      </c>
      <c r="S52" s="37"/>
      <c r="T52" s="37"/>
      <c r="U52" s="37">
        <f t="shared" si="9"/>
        <v>-21246.903209927626</v>
      </c>
      <c r="V52" s="37">
        <f t="shared" si="10"/>
        <v>0</v>
      </c>
      <c r="W52" s="37">
        <f t="shared" si="11"/>
        <v>0</v>
      </c>
      <c r="X52" s="37"/>
      <c r="Y52" s="18">
        <f t="shared" si="12"/>
        <v>689394.04089007247</v>
      </c>
      <c r="Z52" s="37">
        <f t="shared" si="13"/>
        <v>0</v>
      </c>
      <c r="AA52" s="37">
        <f t="shared" si="14"/>
        <v>0</v>
      </c>
      <c r="AB52" s="37">
        <f t="shared" si="15"/>
        <v>689394.04089007247</v>
      </c>
    </row>
    <row r="53" spans="1:28" x14ac:dyDescent="0.2">
      <c r="A53" s="18" t="s">
        <v>163</v>
      </c>
      <c r="B53" s="19">
        <v>2462</v>
      </c>
      <c r="C53" s="18">
        <v>220</v>
      </c>
      <c r="D53" s="18">
        <v>0</v>
      </c>
      <c r="E53" s="18">
        <v>0</v>
      </c>
      <c r="F53" s="18">
        <f t="shared" si="0"/>
        <v>220</v>
      </c>
      <c r="G53" s="18">
        <v>0</v>
      </c>
      <c r="H53" s="18">
        <v>0</v>
      </c>
      <c r="I53" s="18">
        <v>0</v>
      </c>
      <c r="J53" s="18">
        <f t="shared" si="1"/>
        <v>220</v>
      </c>
      <c r="K53" s="18">
        <f t="shared" si="2"/>
        <v>0</v>
      </c>
      <c r="L53" s="18">
        <f t="shared" si="3"/>
        <v>0</v>
      </c>
      <c r="M53" s="18">
        <f t="shared" si="4"/>
        <v>220</v>
      </c>
      <c r="N53" s="29">
        <f t="shared" si="5"/>
        <v>537254.32200000004</v>
      </c>
      <c r="P53" s="37">
        <f t="shared" si="6"/>
        <v>537254.32200000004</v>
      </c>
      <c r="Q53" s="37">
        <f t="shared" si="7"/>
        <v>0</v>
      </c>
      <c r="R53" s="37">
        <f t="shared" si="8"/>
        <v>0</v>
      </c>
      <c r="S53" s="37"/>
      <c r="T53" s="37"/>
      <c r="U53" s="37">
        <f t="shared" si="9"/>
        <v>-16062.950880357657</v>
      </c>
      <c r="V53" s="37">
        <f t="shared" si="10"/>
        <v>0</v>
      </c>
      <c r="W53" s="37">
        <f t="shared" si="11"/>
        <v>0</v>
      </c>
      <c r="X53" s="37"/>
      <c r="Y53" s="18">
        <f t="shared" si="12"/>
        <v>521191.3711196424</v>
      </c>
      <c r="Z53" s="37">
        <f t="shared" si="13"/>
        <v>0</v>
      </c>
      <c r="AA53" s="37">
        <f t="shared" si="14"/>
        <v>0</v>
      </c>
      <c r="AB53" s="37">
        <f t="shared" si="15"/>
        <v>521191.3711196424</v>
      </c>
    </row>
    <row r="54" spans="1:28" x14ac:dyDescent="0.2">
      <c r="A54" s="18" t="s">
        <v>91</v>
      </c>
      <c r="B54" s="19">
        <v>2463</v>
      </c>
      <c r="C54" s="18">
        <v>312</v>
      </c>
      <c r="D54" s="18">
        <v>0</v>
      </c>
      <c r="E54" s="18">
        <v>0</v>
      </c>
      <c r="F54" s="18">
        <f t="shared" si="0"/>
        <v>312</v>
      </c>
      <c r="G54" s="18">
        <v>0</v>
      </c>
      <c r="H54" s="18">
        <v>0</v>
      </c>
      <c r="I54" s="18">
        <v>0</v>
      </c>
      <c r="J54" s="18">
        <f t="shared" si="1"/>
        <v>312</v>
      </c>
      <c r="K54" s="18">
        <f t="shared" si="2"/>
        <v>0</v>
      </c>
      <c r="L54" s="18">
        <f t="shared" si="3"/>
        <v>0</v>
      </c>
      <c r="M54" s="18">
        <f t="shared" si="4"/>
        <v>312</v>
      </c>
      <c r="N54" s="29">
        <f t="shared" si="5"/>
        <v>761924.31120000011</v>
      </c>
      <c r="P54" s="37">
        <f t="shared" si="6"/>
        <v>761924.31120000011</v>
      </c>
      <c r="Q54" s="37">
        <f t="shared" si="7"/>
        <v>0</v>
      </c>
      <c r="R54" s="37">
        <f t="shared" si="8"/>
        <v>0</v>
      </c>
      <c r="S54" s="37"/>
      <c r="T54" s="37"/>
      <c r="U54" s="37">
        <f t="shared" si="9"/>
        <v>-22780.184884870858</v>
      </c>
      <c r="V54" s="37">
        <f t="shared" si="10"/>
        <v>0</v>
      </c>
      <c r="W54" s="37">
        <f t="shared" si="11"/>
        <v>0</v>
      </c>
      <c r="X54" s="37"/>
      <c r="Y54" s="18">
        <f t="shared" si="12"/>
        <v>739144.12631512922</v>
      </c>
      <c r="Z54" s="37">
        <f t="shared" si="13"/>
        <v>0</v>
      </c>
      <c r="AA54" s="37">
        <f t="shared" si="14"/>
        <v>0</v>
      </c>
      <c r="AB54" s="37">
        <f t="shared" si="15"/>
        <v>739144.12631512922</v>
      </c>
    </row>
    <row r="55" spans="1:28" x14ac:dyDescent="0.2">
      <c r="A55" s="18" t="s">
        <v>92</v>
      </c>
      <c r="B55" s="19">
        <v>2505</v>
      </c>
      <c r="C55" s="18">
        <v>453</v>
      </c>
      <c r="D55" s="18">
        <v>0</v>
      </c>
      <c r="E55" s="18">
        <v>0</v>
      </c>
      <c r="F55" s="18">
        <f t="shared" si="0"/>
        <v>453</v>
      </c>
      <c r="G55" s="18">
        <v>0</v>
      </c>
      <c r="H55" s="18">
        <v>0</v>
      </c>
      <c r="I55" s="18">
        <v>0</v>
      </c>
      <c r="J55" s="18">
        <f t="shared" si="1"/>
        <v>453</v>
      </c>
      <c r="K55" s="18">
        <f t="shared" si="2"/>
        <v>0</v>
      </c>
      <c r="L55" s="18">
        <f t="shared" si="3"/>
        <v>0</v>
      </c>
      <c r="M55" s="18">
        <f t="shared" si="4"/>
        <v>453</v>
      </c>
      <c r="N55" s="29">
        <f t="shared" si="5"/>
        <v>1106255.4903000002</v>
      </c>
      <c r="P55" s="37">
        <f t="shared" si="6"/>
        <v>1106255.4903000002</v>
      </c>
      <c r="Q55" s="37">
        <f t="shared" si="7"/>
        <v>0</v>
      </c>
      <c r="R55" s="37">
        <f t="shared" si="8"/>
        <v>0</v>
      </c>
      <c r="S55" s="37"/>
      <c r="T55" s="37"/>
      <c r="U55" s="37">
        <f t="shared" si="9"/>
        <v>-33075.076130918264</v>
      </c>
      <c r="V55" s="37">
        <f t="shared" si="10"/>
        <v>0</v>
      </c>
      <c r="W55" s="37">
        <f t="shared" si="11"/>
        <v>0</v>
      </c>
      <c r="X55" s="37"/>
      <c r="Y55" s="18">
        <f t="shared" si="12"/>
        <v>1073180.414169082</v>
      </c>
      <c r="Z55" s="37">
        <f t="shared" si="13"/>
        <v>0</v>
      </c>
      <c r="AA55" s="37">
        <f t="shared" si="14"/>
        <v>0</v>
      </c>
      <c r="AB55" s="37">
        <f t="shared" si="15"/>
        <v>1073180.414169082</v>
      </c>
    </row>
    <row r="56" spans="1:28" x14ac:dyDescent="0.2">
      <c r="A56" s="18" t="s">
        <v>93</v>
      </c>
      <c r="B56" s="19">
        <v>2000</v>
      </c>
      <c r="C56" s="18">
        <v>306</v>
      </c>
      <c r="D56" s="18">
        <v>0</v>
      </c>
      <c r="E56" s="18">
        <v>0</v>
      </c>
      <c r="F56" s="18">
        <f t="shared" si="0"/>
        <v>306</v>
      </c>
      <c r="G56" s="18">
        <v>26</v>
      </c>
      <c r="H56" s="18">
        <v>0</v>
      </c>
      <c r="I56" s="18">
        <v>0</v>
      </c>
      <c r="J56" s="18">
        <f t="shared" si="1"/>
        <v>280</v>
      </c>
      <c r="K56" s="18">
        <f t="shared" si="2"/>
        <v>0</v>
      </c>
      <c r="L56" s="18">
        <f t="shared" si="3"/>
        <v>0</v>
      </c>
      <c r="M56" s="18">
        <f t="shared" si="4"/>
        <v>280</v>
      </c>
      <c r="N56" s="29">
        <f t="shared" si="5"/>
        <v>683778.22800000012</v>
      </c>
      <c r="P56" s="37">
        <f t="shared" si="6"/>
        <v>683778.22800000012</v>
      </c>
      <c r="Q56" s="37">
        <f t="shared" si="7"/>
        <v>0</v>
      </c>
      <c r="R56" s="37">
        <f t="shared" si="8"/>
        <v>0</v>
      </c>
      <c r="S56" s="37"/>
      <c r="T56" s="37"/>
      <c r="U56" s="37">
        <f t="shared" si="9"/>
        <v>-20443.755665909746</v>
      </c>
      <c r="V56" s="37">
        <f t="shared" si="10"/>
        <v>0</v>
      </c>
      <c r="W56" s="37">
        <f t="shared" si="11"/>
        <v>0</v>
      </c>
      <c r="X56" s="37"/>
      <c r="Y56" s="18">
        <f t="shared" si="12"/>
        <v>663334.47233409039</v>
      </c>
      <c r="Z56" s="37">
        <f t="shared" si="13"/>
        <v>0</v>
      </c>
      <c r="AA56" s="37">
        <f t="shared" si="14"/>
        <v>0</v>
      </c>
      <c r="AB56" s="37">
        <f t="shared" si="15"/>
        <v>663334.47233409039</v>
      </c>
    </row>
    <row r="57" spans="1:28" x14ac:dyDescent="0.2">
      <c r="A57" s="18" t="s">
        <v>94</v>
      </c>
      <c r="B57" s="19">
        <v>2458</v>
      </c>
      <c r="C57" s="18">
        <v>270</v>
      </c>
      <c r="D57" s="18">
        <v>0</v>
      </c>
      <c r="E57" s="18">
        <v>0</v>
      </c>
      <c r="F57" s="18">
        <f t="shared" si="0"/>
        <v>270</v>
      </c>
      <c r="G57" s="18">
        <v>0</v>
      </c>
      <c r="H57" s="18">
        <v>0</v>
      </c>
      <c r="I57" s="18">
        <v>0</v>
      </c>
      <c r="J57" s="18">
        <f t="shared" si="1"/>
        <v>270</v>
      </c>
      <c r="K57" s="18">
        <f t="shared" si="2"/>
        <v>0</v>
      </c>
      <c r="L57" s="18">
        <f t="shared" si="3"/>
        <v>0</v>
      </c>
      <c r="M57" s="18">
        <f t="shared" si="4"/>
        <v>270</v>
      </c>
      <c r="N57" s="29">
        <f t="shared" si="5"/>
        <v>659357.57700000005</v>
      </c>
      <c r="P57" s="37">
        <f t="shared" si="6"/>
        <v>659357.57700000005</v>
      </c>
      <c r="Q57" s="37">
        <f t="shared" si="7"/>
        <v>0</v>
      </c>
      <c r="R57" s="37">
        <f t="shared" si="8"/>
        <v>0</v>
      </c>
      <c r="S57" s="37"/>
      <c r="T57" s="37"/>
      <c r="U57" s="37">
        <f t="shared" si="9"/>
        <v>-19713.621534984399</v>
      </c>
      <c r="V57" s="37">
        <f t="shared" si="10"/>
        <v>0</v>
      </c>
      <c r="W57" s="37">
        <f t="shared" si="11"/>
        <v>0</v>
      </c>
      <c r="X57" s="37"/>
      <c r="Y57" s="18">
        <f t="shared" si="12"/>
        <v>639643.95546501561</v>
      </c>
      <c r="Z57" s="37">
        <f t="shared" si="13"/>
        <v>0</v>
      </c>
      <c r="AA57" s="37">
        <f t="shared" si="14"/>
        <v>0</v>
      </c>
      <c r="AB57" s="37">
        <f t="shared" si="15"/>
        <v>639643.95546501561</v>
      </c>
    </row>
    <row r="58" spans="1:28" x14ac:dyDescent="0.2">
      <c r="A58" s="18" t="s">
        <v>95</v>
      </c>
      <c r="B58" s="19">
        <v>2001</v>
      </c>
      <c r="C58" s="18">
        <v>331</v>
      </c>
      <c r="D58" s="18">
        <v>0</v>
      </c>
      <c r="E58" s="18">
        <v>0</v>
      </c>
      <c r="F58" s="18">
        <f t="shared" si="0"/>
        <v>331</v>
      </c>
      <c r="G58" s="18">
        <v>0</v>
      </c>
      <c r="H58" s="18">
        <v>0</v>
      </c>
      <c r="I58" s="18">
        <v>0</v>
      </c>
      <c r="J58" s="18">
        <f t="shared" si="1"/>
        <v>331</v>
      </c>
      <c r="K58" s="18">
        <f t="shared" si="2"/>
        <v>0</v>
      </c>
      <c r="L58" s="18">
        <f t="shared" si="3"/>
        <v>0</v>
      </c>
      <c r="M58" s="18">
        <f t="shared" si="4"/>
        <v>331</v>
      </c>
      <c r="N58" s="29">
        <f t="shared" si="5"/>
        <v>808323.54810000013</v>
      </c>
      <c r="P58" s="37">
        <f t="shared" si="6"/>
        <v>808323.54810000013</v>
      </c>
      <c r="Q58" s="37">
        <f t="shared" si="7"/>
        <v>0</v>
      </c>
      <c r="R58" s="37">
        <f t="shared" si="8"/>
        <v>0</v>
      </c>
      <c r="S58" s="37"/>
      <c r="T58" s="37"/>
      <c r="U58" s="37">
        <f t="shared" si="9"/>
        <v>-24167.43973362902</v>
      </c>
      <c r="V58" s="37">
        <f t="shared" si="10"/>
        <v>0</v>
      </c>
      <c r="W58" s="37">
        <f t="shared" si="11"/>
        <v>0</v>
      </c>
      <c r="X58" s="37"/>
      <c r="Y58" s="18">
        <f t="shared" si="12"/>
        <v>784156.10836637113</v>
      </c>
      <c r="Z58" s="37">
        <f t="shared" si="13"/>
        <v>0</v>
      </c>
      <c r="AA58" s="37">
        <f t="shared" si="14"/>
        <v>0</v>
      </c>
      <c r="AB58" s="37">
        <f t="shared" si="15"/>
        <v>784156.10836637113</v>
      </c>
    </row>
    <row r="59" spans="1:28" x14ac:dyDescent="0.2">
      <c r="A59" s="18" t="s">
        <v>96</v>
      </c>
      <c r="B59" s="19">
        <v>2429</v>
      </c>
      <c r="C59" s="18">
        <v>155</v>
      </c>
      <c r="D59" s="18">
        <v>0</v>
      </c>
      <c r="E59" s="18">
        <v>0</v>
      </c>
      <c r="F59" s="18">
        <f t="shared" si="0"/>
        <v>155</v>
      </c>
      <c r="G59" s="18">
        <v>0</v>
      </c>
      <c r="H59" s="18">
        <v>0</v>
      </c>
      <c r="I59" s="18">
        <v>0</v>
      </c>
      <c r="J59" s="18">
        <f t="shared" si="1"/>
        <v>155</v>
      </c>
      <c r="K59" s="18">
        <f t="shared" si="2"/>
        <v>0</v>
      </c>
      <c r="L59" s="18">
        <f t="shared" si="3"/>
        <v>0</v>
      </c>
      <c r="M59" s="18">
        <f t="shared" si="4"/>
        <v>155</v>
      </c>
      <c r="N59" s="29">
        <f t="shared" si="5"/>
        <v>378520.09050000005</v>
      </c>
      <c r="P59" s="37">
        <f t="shared" si="6"/>
        <v>378520.09050000005</v>
      </c>
      <c r="Q59" s="37">
        <f t="shared" si="7"/>
        <v>0</v>
      </c>
      <c r="R59" s="37">
        <f t="shared" si="8"/>
        <v>0</v>
      </c>
      <c r="S59" s="37"/>
      <c r="T59" s="37"/>
      <c r="U59" s="37">
        <f t="shared" si="9"/>
        <v>-11317.079029342895</v>
      </c>
      <c r="V59" s="37">
        <f t="shared" si="10"/>
        <v>0</v>
      </c>
      <c r="W59" s="37">
        <f t="shared" si="11"/>
        <v>0</v>
      </c>
      <c r="X59" s="37"/>
      <c r="Y59" s="18">
        <f t="shared" si="12"/>
        <v>367203.01147065713</v>
      </c>
      <c r="Z59" s="37">
        <f t="shared" si="13"/>
        <v>0</v>
      </c>
      <c r="AA59" s="37">
        <f t="shared" si="14"/>
        <v>0</v>
      </c>
      <c r="AB59" s="37">
        <f t="shared" si="15"/>
        <v>367203.01147065713</v>
      </c>
    </row>
    <row r="60" spans="1:28" x14ac:dyDescent="0.2">
      <c r="A60" s="18" t="s">
        <v>97</v>
      </c>
      <c r="B60" s="19">
        <v>2444</v>
      </c>
      <c r="C60" s="18">
        <v>209</v>
      </c>
      <c r="D60" s="18">
        <v>0</v>
      </c>
      <c r="E60" s="18">
        <v>0</v>
      </c>
      <c r="F60" s="18">
        <f t="shared" si="0"/>
        <v>209</v>
      </c>
      <c r="G60" s="18">
        <v>0</v>
      </c>
      <c r="H60" s="18">
        <v>0</v>
      </c>
      <c r="I60" s="18">
        <v>0</v>
      </c>
      <c r="J60" s="18">
        <f t="shared" si="1"/>
        <v>209</v>
      </c>
      <c r="K60" s="18">
        <f t="shared" si="2"/>
        <v>0</v>
      </c>
      <c r="L60" s="18">
        <f t="shared" si="3"/>
        <v>0</v>
      </c>
      <c r="M60" s="18">
        <f t="shared" si="4"/>
        <v>209</v>
      </c>
      <c r="N60" s="29">
        <f t="shared" si="5"/>
        <v>510391.60590000008</v>
      </c>
      <c r="P60" s="37">
        <f t="shared" si="6"/>
        <v>510391.60590000008</v>
      </c>
      <c r="Q60" s="37">
        <f t="shared" si="7"/>
        <v>0</v>
      </c>
      <c r="R60" s="37">
        <f t="shared" si="8"/>
        <v>0</v>
      </c>
      <c r="S60" s="37"/>
      <c r="T60" s="37"/>
      <c r="U60" s="37">
        <f t="shared" si="9"/>
        <v>-15259.803336339774</v>
      </c>
      <c r="V60" s="37">
        <f t="shared" si="10"/>
        <v>0</v>
      </c>
      <c r="W60" s="37">
        <f t="shared" si="11"/>
        <v>0</v>
      </c>
      <c r="X60" s="37"/>
      <c r="Y60" s="18">
        <f t="shared" si="12"/>
        <v>495131.80256366031</v>
      </c>
      <c r="Z60" s="37">
        <f t="shared" si="13"/>
        <v>0</v>
      </c>
      <c r="AA60" s="37">
        <f t="shared" si="14"/>
        <v>0</v>
      </c>
      <c r="AB60" s="37">
        <f t="shared" si="15"/>
        <v>495131.80256366031</v>
      </c>
    </row>
    <row r="61" spans="1:28" x14ac:dyDescent="0.2">
      <c r="A61" s="18" t="s">
        <v>98</v>
      </c>
      <c r="B61" s="19">
        <v>5209</v>
      </c>
      <c r="C61" s="18">
        <v>270</v>
      </c>
      <c r="D61" s="18">
        <v>0</v>
      </c>
      <c r="E61" s="18">
        <v>0</v>
      </c>
      <c r="F61" s="18">
        <f t="shared" si="0"/>
        <v>270</v>
      </c>
      <c r="G61" s="18">
        <v>0</v>
      </c>
      <c r="H61" s="18">
        <v>0</v>
      </c>
      <c r="I61" s="18">
        <v>0</v>
      </c>
      <c r="J61" s="18">
        <f t="shared" si="1"/>
        <v>270</v>
      </c>
      <c r="K61" s="18">
        <f t="shared" si="2"/>
        <v>0</v>
      </c>
      <c r="L61" s="18">
        <f t="shared" si="3"/>
        <v>0</v>
      </c>
      <c r="M61" s="18">
        <f t="shared" si="4"/>
        <v>270</v>
      </c>
      <c r="N61" s="29">
        <f t="shared" si="5"/>
        <v>659357.57700000005</v>
      </c>
      <c r="P61" s="37">
        <f t="shared" si="6"/>
        <v>659357.57700000005</v>
      </c>
      <c r="Q61" s="37">
        <f t="shared" si="7"/>
        <v>0</v>
      </c>
      <c r="R61" s="37">
        <f t="shared" si="8"/>
        <v>0</v>
      </c>
      <c r="S61" s="37"/>
      <c r="T61" s="37"/>
      <c r="U61" s="37">
        <f t="shared" si="9"/>
        <v>-19713.621534984399</v>
      </c>
      <c r="V61" s="37">
        <f t="shared" si="10"/>
        <v>0</v>
      </c>
      <c r="W61" s="37">
        <f t="shared" si="11"/>
        <v>0</v>
      </c>
      <c r="X61" s="37"/>
      <c r="Y61" s="18">
        <f t="shared" si="12"/>
        <v>639643.95546501561</v>
      </c>
      <c r="Z61" s="37">
        <f t="shared" si="13"/>
        <v>0</v>
      </c>
      <c r="AA61" s="37">
        <f t="shared" si="14"/>
        <v>0</v>
      </c>
      <c r="AB61" s="37">
        <f t="shared" si="15"/>
        <v>639643.95546501561</v>
      </c>
    </row>
    <row r="62" spans="1:28" x14ac:dyDescent="0.2">
      <c r="A62" s="18" t="s">
        <v>99</v>
      </c>
      <c r="B62" s="19">
        <v>2469</v>
      </c>
      <c r="C62" s="18">
        <v>412</v>
      </c>
      <c r="D62" s="18">
        <v>0</v>
      </c>
      <c r="E62" s="18">
        <v>0</v>
      </c>
      <c r="F62" s="18">
        <f t="shared" si="0"/>
        <v>412</v>
      </c>
      <c r="G62" s="18">
        <v>0</v>
      </c>
      <c r="H62" s="18">
        <v>0</v>
      </c>
      <c r="I62" s="18">
        <v>0</v>
      </c>
      <c r="J62" s="18">
        <f t="shared" si="1"/>
        <v>412</v>
      </c>
      <c r="K62" s="18">
        <f t="shared" si="2"/>
        <v>0</v>
      </c>
      <c r="L62" s="18">
        <f t="shared" si="3"/>
        <v>0</v>
      </c>
      <c r="M62" s="18">
        <f t="shared" si="4"/>
        <v>412</v>
      </c>
      <c r="N62" s="29">
        <f t="shared" si="5"/>
        <v>1006130.8212000001</v>
      </c>
      <c r="P62" s="37">
        <f t="shared" si="6"/>
        <v>1006130.8212000001</v>
      </c>
      <c r="Q62" s="37">
        <f t="shared" si="7"/>
        <v>0</v>
      </c>
      <c r="R62" s="37">
        <f t="shared" si="8"/>
        <v>0</v>
      </c>
      <c r="S62" s="37"/>
      <c r="T62" s="37"/>
      <c r="U62" s="37">
        <f t="shared" si="9"/>
        <v>-30081.526194124341</v>
      </c>
      <c r="V62" s="37">
        <f t="shared" si="10"/>
        <v>0</v>
      </c>
      <c r="W62" s="37">
        <f t="shared" si="11"/>
        <v>0</v>
      </c>
      <c r="X62" s="37"/>
      <c r="Y62" s="18">
        <f t="shared" si="12"/>
        <v>976049.29500587576</v>
      </c>
      <c r="Z62" s="37">
        <f t="shared" si="13"/>
        <v>0</v>
      </c>
      <c r="AA62" s="37">
        <f t="shared" si="14"/>
        <v>0</v>
      </c>
      <c r="AB62" s="37">
        <f t="shared" si="15"/>
        <v>976049.29500587576</v>
      </c>
    </row>
    <row r="63" spans="1:28" x14ac:dyDescent="0.2">
      <c r="A63" s="18" t="s">
        <v>797</v>
      </c>
      <c r="B63" s="19">
        <v>2430</v>
      </c>
      <c r="C63" s="18">
        <v>113</v>
      </c>
      <c r="D63" s="18">
        <v>0</v>
      </c>
      <c r="E63" s="18">
        <v>0</v>
      </c>
      <c r="F63" s="18">
        <f t="shared" si="0"/>
        <v>113</v>
      </c>
      <c r="G63" s="18">
        <v>0</v>
      </c>
      <c r="H63" s="18">
        <v>0</v>
      </c>
      <c r="I63" s="18">
        <v>0</v>
      </c>
      <c r="J63" s="18">
        <f t="shared" si="1"/>
        <v>113</v>
      </c>
      <c r="K63" s="18">
        <f t="shared" si="2"/>
        <v>0</v>
      </c>
      <c r="L63" s="18">
        <f t="shared" si="3"/>
        <v>0</v>
      </c>
      <c r="M63" s="18">
        <f t="shared" si="4"/>
        <v>113</v>
      </c>
      <c r="N63" s="29">
        <f t="shared" si="5"/>
        <v>275953.35630000004</v>
      </c>
      <c r="P63" s="37">
        <f t="shared" si="6"/>
        <v>275953.35630000004</v>
      </c>
      <c r="Q63" s="37">
        <f t="shared" si="7"/>
        <v>0</v>
      </c>
      <c r="R63" s="37">
        <f t="shared" si="8"/>
        <v>0</v>
      </c>
      <c r="S63" s="37"/>
      <c r="T63" s="37"/>
      <c r="U63" s="37">
        <f t="shared" si="9"/>
        <v>-8250.5156794564336</v>
      </c>
      <c r="V63" s="37">
        <f t="shared" si="10"/>
        <v>0</v>
      </c>
      <c r="W63" s="37">
        <f t="shared" si="11"/>
        <v>0</v>
      </c>
      <c r="X63" s="37"/>
      <c r="Y63" s="18">
        <f t="shared" si="12"/>
        <v>267702.84062054363</v>
      </c>
      <c r="Z63" s="37">
        <f t="shared" si="13"/>
        <v>0</v>
      </c>
      <c r="AA63" s="37">
        <f t="shared" si="14"/>
        <v>0</v>
      </c>
      <c r="AB63" s="37">
        <f t="shared" si="15"/>
        <v>267702.84062054363</v>
      </c>
    </row>
    <row r="64" spans="1:28" x14ac:dyDescent="0.2">
      <c r="A64" s="18" t="s">
        <v>101</v>
      </c>
      <c r="B64" s="19">
        <v>2466</v>
      </c>
      <c r="C64" s="18">
        <v>170</v>
      </c>
      <c r="D64" s="18">
        <v>0</v>
      </c>
      <c r="E64" s="18">
        <v>0</v>
      </c>
      <c r="F64" s="18">
        <f t="shared" si="0"/>
        <v>170</v>
      </c>
      <c r="G64" s="18">
        <v>6</v>
      </c>
      <c r="H64" s="18">
        <v>0</v>
      </c>
      <c r="I64" s="18">
        <v>0</v>
      </c>
      <c r="J64" s="18">
        <f t="shared" si="1"/>
        <v>164</v>
      </c>
      <c r="K64" s="18">
        <f t="shared" si="2"/>
        <v>0</v>
      </c>
      <c r="L64" s="18">
        <f t="shared" si="3"/>
        <v>0</v>
      </c>
      <c r="M64" s="18">
        <f t="shared" si="4"/>
        <v>164</v>
      </c>
      <c r="N64" s="29">
        <f t="shared" si="5"/>
        <v>400498.67640000005</v>
      </c>
      <c r="P64" s="37">
        <f t="shared" si="6"/>
        <v>400498.67640000005</v>
      </c>
      <c r="Q64" s="37">
        <f t="shared" si="7"/>
        <v>0</v>
      </c>
      <c r="R64" s="37">
        <f t="shared" si="8"/>
        <v>0</v>
      </c>
      <c r="S64" s="37"/>
      <c r="T64" s="37"/>
      <c r="U64" s="37">
        <f t="shared" si="9"/>
        <v>-11974.199747175708</v>
      </c>
      <c r="V64" s="37">
        <f t="shared" si="10"/>
        <v>0</v>
      </c>
      <c r="W64" s="37">
        <f t="shared" si="11"/>
        <v>0</v>
      </c>
      <c r="X64" s="37"/>
      <c r="Y64" s="18">
        <f t="shared" si="12"/>
        <v>388524.47665282432</v>
      </c>
      <c r="Z64" s="37">
        <f t="shared" si="13"/>
        <v>0</v>
      </c>
      <c r="AA64" s="37">
        <f t="shared" si="14"/>
        <v>0</v>
      </c>
      <c r="AB64" s="37">
        <f t="shared" si="15"/>
        <v>388524.47665282432</v>
      </c>
    </row>
    <row r="65" spans="1:28" x14ac:dyDescent="0.2">
      <c r="A65" s="18" t="s">
        <v>102</v>
      </c>
      <c r="B65" s="19">
        <v>3543</v>
      </c>
      <c r="C65" s="18">
        <v>293</v>
      </c>
      <c r="D65" s="18">
        <v>0</v>
      </c>
      <c r="E65" s="18">
        <v>0</v>
      </c>
      <c r="F65" s="18">
        <f t="shared" si="0"/>
        <v>293</v>
      </c>
      <c r="G65" s="18">
        <v>0</v>
      </c>
      <c r="H65" s="18">
        <v>0</v>
      </c>
      <c r="I65" s="18">
        <v>0</v>
      </c>
      <c r="J65" s="18">
        <f t="shared" si="1"/>
        <v>293</v>
      </c>
      <c r="K65" s="18">
        <f t="shared" si="2"/>
        <v>0</v>
      </c>
      <c r="L65" s="18">
        <f t="shared" si="3"/>
        <v>0</v>
      </c>
      <c r="M65" s="18">
        <f t="shared" si="4"/>
        <v>293</v>
      </c>
      <c r="N65" s="29">
        <f t="shared" si="5"/>
        <v>715525.07430000009</v>
      </c>
      <c r="P65" s="37">
        <f t="shared" si="6"/>
        <v>715525.07430000009</v>
      </c>
      <c r="Q65" s="37">
        <f t="shared" si="7"/>
        <v>0</v>
      </c>
      <c r="R65" s="37">
        <f t="shared" si="8"/>
        <v>0</v>
      </c>
      <c r="S65" s="37"/>
      <c r="T65" s="37"/>
      <c r="U65" s="37">
        <f t="shared" si="9"/>
        <v>-21392.930036112699</v>
      </c>
      <c r="V65" s="37">
        <f t="shared" si="10"/>
        <v>0</v>
      </c>
      <c r="W65" s="37">
        <f t="shared" si="11"/>
        <v>0</v>
      </c>
      <c r="X65" s="37"/>
      <c r="Y65" s="18">
        <f t="shared" si="12"/>
        <v>694132.14426388743</v>
      </c>
      <c r="Z65" s="37">
        <f t="shared" si="13"/>
        <v>0</v>
      </c>
      <c r="AA65" s="37">
        <f t="shared" si="14"/>
        <v>0</v>
      </c>
      <c r="AB65" s="37">
        <f t="shared" si="15"/>
        <v>694132.14426388743</v>
      </c>
    </row>
    <row r="66" spans="1:28" x14ac:dyDescent="0.2">
      <c r="A66" s="18" t="s">
        <v>104</v>
      </c>
      <c r="B66" s="19">
        <v>3531</v>
      </c>
      <c r="C66" s="18">
        <v>350</v>
      </c>
      <c r="D66" s="18">
        <v>0</v>
      </c>
      <c r="E66" s="18">
        <v>0</v>
      </c>
      <c r="F66" s="18">
        <f t="shared" si="0"/>
        <v>350</v>
      </c>
      <c r="G66" s="18">
        <v>0</v>
      </c>
      <c r="H66" s="18">
        <v>0</v>
      </c>
      <c r="I66" s="18">
        <v>0</v>
      </c>
      <c r="J66" s="18">
        <f t="shared" si="1"/>
        <v>350</v>
      </c>
      <c r="K66" s="18">
        <f t="shared" si="2"/>
        <v>0</v>
      </c>
      <c r="L66" s="18">
        <f t="shared" si="3"/>
        <v>0</v>
      </c>
      <c r="M66" s="18">
        <f t="shared" si="4"/>
        <v>350</v>
      </c>
      <c r="N66" s="29">
        <f t="shared" si="5"/>
        <v>854722.78500000003</v>
      </c>
      <c r="P66" s="37">
        <f t="shared" si="6"/>
        <v>854722.78500000003</v>
      </c>
      <c r="Q66" s="37">
        <f t="shared" si="7"/>
        <v>0</v>
      </c>
      <c r="R66" s="37">
        <f t="shared" si="8"/>
        <v>0</v>
      </c>
      <c r="S66" s="37" t="s">
        <v>950</v>
      </c>
      <c r="T66" s="37"/>
      <c r="U66" s="37"/>
      <c r="V66" s="37"/>
      <c r="W66" s="37"/>
      <c r="X66" s="37" t="s">
        <v>950</v>
      </c>
      <c r="Y66" s="18">
        <f t="shared" si="12"/>
        <v>854722.78500000003</v>
      </c>
      <c r="Z66" s="37">
        <f t="shared" si="13"/>
        <v>0</v>
      </c>
      <c r="AA66" s="37">
        <f t="shared" si="14"/>
        <v>0</v>
      </c>
      <c r="AB66" s="37">
        <f t="shared" si="15"/>
        <v>854722.78500000003</v>
      </c>
    </row>
    <row r="67" spans="1:28" x14ac:dyDescent="0.2">
      <c r="A67" s="18" t="s">
        <v>164</v>
      </c>
      <c r="B67" s="19">
        <v>3526</v>
      </c>
      <c r="C67" s="18">
        <v>83</v>
      </c>
      <c r="D67" s="18">
        <v>0</v>
      </c>
      <c r="E67" s="18">
        <v>0</v>
      </c>
      <c r="F67" s="18">
        <f t="shared" si="0"/>
        <v>83</v>
      </c>
      <c r="G67" s="18">
        <v>0</v>
      </c>
      <c r="H67" s="18">
        <v>0</v>
      </c>
      <c r="I67" s="18">
        <v>0</v>
      </c>
      <c r="J67" s="18">
        <f t="shared" si="1"/>
        <v>83</v>
      </c>
      <c r="K67" s="18">
        <f t="shared" si="2"/>
        <v>0</v>
      </c>
      <c r="L67" s="18">
        <f t="shared" si="3"/>
        <v>0</v>
      </c>
      <c r="M67" s="18">
        <f t="shared" si="4"/>
        <v>83</v>
      </c>
      <c r="N67" s="29">
        <f t="shared" si="5"/>
        <v>202691.40330000003</v>
      </c>
      <c r="P67" s="37">
        <f t="shared" si="6"/>
        <v>202691.40330000003</v>
      </c>
      <c r="Q67" s="37">
        <f t="shared" si="7"/>
        <v>0</v>
      </c>
      <c r="R67" s="37">
        <f t="shared" si="8"/>
        <v>0</v>
      </c>
      <c r="S67" s="37"/>
      <c r="T67" s="37"/>
      <c r="U67" s="37">
        <f t="shared" si="9"/>
        <v>-6060.1132866803891</v>
      </c>
      <c r="V67" s="37">
        <f t="shared" si="10"/>
        <v>0</v>
      </c>
      <c r="W67" s="37">
        <f t="shared" si="11"/>
        <v>0</v>
      </c>
      <c r="X67" s="37"/>
      <c r="Y67" s="18">
        <f t="shared" si="12"/>
        <v>196631.29001331964</v>
      </c>
      <c r="Z67" s="37">
        <f t="shared" si="13"/>
        <v>0</v>
      </c>
      <c r="AA67" s="37">
        <f t="shared" si="14"/>
        <v>0</v>
      </c>
      <c r="AB67" s="37">
        <f t="shared" si="15"/>
        <v>196631.29001331964</v>
      </c>
    </row>
    <row r="68" spans="1:28" x14ac:dyDescent="0.2">
      <c r="A68" s="18" t="s">
        <v>165</v>
      </c>
      <c r="B68" s="19">
        <v>3535</v>
      </c>
      <c r="C68" s="18">
        <v>302</v>
      </c>
      <c r="D68" s="18">
        <v>0</v>
      </c>
      <c r="E68" s="18">
        <v>0</v>
      </c>
      <c r="F68" s="18">
        <f t="shared" si="0"/>
        <v>302</v>
      </c>
      <c r="G68" s="18">
        <v>0</v>
      </c>
      <c r="H68" s="18">
        <v>0</v>
      </c>
      <c r="I68" s="18">
        <v>0</v>
      </c>
      <c r="J68" s="18">
        <f t="shared" si="1"/>
        <v>302</v>
      </c>
      <c r="K68" s="18">
        <f t="shared" si="2"/>
        <v>0</v>
      </c>
      <c r="L68" s="18">
        <f t="shared" si="3"/>
        <v>0</v>
      </c>
      <c r="M68" s="18">
        <f t="shared" si="4"/>
        <v>302</v>
      </c>
      <c r="N68" s="29">
        <f t="shared" si="5"/>
        <v>737503.66020000004</v>
      </c>
      <c r="P68" s="37">
        <f t="shared" si="6"/>
        <v>737503.66020000004</v>
      </c>
      <c r="Q68" s="37">
        <f t="shared" si="7"/>
        <v>0</v>
      </c>
      <c r="R68" s="37">
        <f t="shared" si="8"/>
        <v>0</v>
      </c>
      <c r="S68" s="37"/>
      <c r="T68" s="37"/>
      <c r="U68" s="37">
        <f t="shared" si="9"/>
        <v>-22050.05075394551</v>
      </c>
      <c r="V68" s="37">
        <f t="shared" si="10"/>
        <v>0</v>
      </c>
      <c r="W68" s="37">
        <f t="shared" si="11"/>
        <v>0</v>
      </c>
      <c r="X68" s="37"/>
      <c r="Y68" s="18">
        <f t="shared" si="12"/>
        <v>715453.60944605456</v>
      </c>
      <c r="Z68" s="37">
        <f t="shared" si="13"/>
        <v>0</v>
      </c>
      <c r="AA68" s="37">
        <f t="shared" si="14"/>
        <v>0</v>
      </c>
      <c r="AB68" s="37">
        <f t="shared" si="15"/>
        <v>715453.60944605456</v>
      </c>
    </row>
    <row r="69" spans="1:28" x14ac:dyDescent="0.2">
      <c r="A69" s="21" t="s">
        <v>107</v>
      </c>
      <c r="B69" s="19">
        <v>2008</v>
      </c>
      <c r="C69" s="18">
        <v>221</v>
      </c>
      <c r="D69" s="18">
        <v>0</v>
      </c>
      <c r="E69" s="18">
        <v>0</v>
      </c>
      <c r="F69" s="18">
        <f t="shared" si="0"/>
        <v>221</v>
      </c>
      <c r="G69" s="18">
        <v>0</v>
      </c>
      <c r="H69" s="18">
        <v>0</v>
      </c>
      <c r="I69" s="18">
        <v>0</v>
      </c>
      <c r="J69" s="18">
        <f t="shared" si="1"/>
        <v>221</v>
      </c>
      <c r="K69" s="18">
        <f t="shared" si="2"/>
        <v>0</v>
      </c>
      <c r="L69" s="18">
        <f t="shared" si="3"/>
        <v>0</v>
      </c>
      <c r="M69" s="18">
        <f t="shared" si="4"/>
        <v>221</v>
      </c>
      <c r="N69" s="29">
        <f t="shared" si="5"/>
        <v>539696.38710000005</v>
      </c>
      <c r="P69" s="37">
        <f t="shared" si="6"/>
        <v>539696.38710000005</v>
      </c>
      <c r="Q69" s="37">
        <f t="shared" si="7"/>
        <v>0</v>
      </c>
      <c r="R69" s="37">
        <f t="shared" si="8"/>
        <v>0</v>
      </c>
      <c r="S69" s="37" t="s">
        <v>950</v>
      </c>
      <c r="T69" s="37"/>
      <c r="U69" s="37"/>
      <c r="V69" s="37"/>
      <c r="W69" s="37"/>
      <c r="X69" s="37" t="s">
        <v>950</v>
      </c>
      <c r="Y69" s="18">
        <f t="shared" si="12"/>
        <v>539696.38710000005</v>
      </c>
      <c r="Z69" s="37">
        <f t="shared" si="13"/>
        <v>0</v>
      </c>
      <c r="AA69" s="37">
        <f t="shared" si="14"/>
        <v>0</v>
      </c>
      <c r="AB69" s="37">
        <f t="shared" si="15"/>
        <v>539696.38710000005</v>
      </c>
    </row>
    <row r="70" spans="1:28" x14ac:dyDescent="0.2">
      <c r="A70" s="18" t="s">
        <v>166</v>
      </c>
      <c r="B70" s="19">
        <v>3542</v>
      </c>
      <c r="C70" s="18">
        <v>359</v>
      </c>
      <c r="D70" s="18">
        <v>0</v>
      </c>
      <c r="E70" s="18">
        <v>0</v>
      </c>
      <c r="F70" s="18">
        <f t="shared" si="0"/>
        <v>359</v>
      </c>
      <c r="G70" s="18">
        <v>0</v>
      </c>
      <c r="H70" s="18">
        <v>0</v>
      </c>
      <c r="I70" s="18">
        <v>0</v>
      </c>
      <c r="J70" s="18">
        <f t="shared" si="1"/>
        <v>359</v>
      </c>
      <c r="K70" s="18">
        <f t="shared" si="2"/>
        <v>0</v>
      </c>
      <c r="L70" s="18">
        <f t="shared" si="3"/>
        <v>0</v>
      </c>
      <c r="M70" s="18">
        <f t="shared" si="4"/>
        <v>359</v>
      </c>
      <c r="N70" s="29">
        <f t="shared" si="5"/>
        <v>876701.3709000001</v>
      </c>
      <c r="P70" s="37">
        <f t="shared" si="6"/>
        <v>876701.3709000001</v>
      </c>
      <c r="Q70" s="37">
        <f t="shared" si="7"/>
        <v>0</v>
      </c>
      <c r="R70" s="37">
        <f t="shared" si="8"/>
        <v>0</v>
      </c>
      <c r="S70" s="37"/>
      <c r="T70" s="37"/>
      <c r="U70" s="37">
        <f t="shared" si="9"/>
        <v>-26211.815300219994</v>
      </c>
      <c r="V70" s="37">
        <f t="shared" si="10"/>
        <v>0</v>
      </c>
      <c r="W70" s="37">
        <f t="shared" si="11"/>
        <v>0</v>
      </c>
      <c r="X70" s="37"/>
      <c r="Y70" s="18">
        <f t="shared" si="12"/>
        <v>850489.55559978005</v>
      </c>
      <c r="Z70" s="37">
        <f t="shared" si="13"/>
        <v>0</v>
      </c>
      <c r="AA70" s="37">
        <f t="shared" si="14"/>
        <v>0</v>
      </c>
      <c r="AB70" s="37">
        <f t="shared" si="15"/>
        <v>850489.55559978005</v>
      </c>
    </row>
    <row r="71" spans="1:28" x14ac:dyDescent="0.2">
      <c r="A71" s="18" t="s">
        <v>167</v>
      </c>
      <c r="B71" s="19">
        <v>3528</v>
      </c>
      <c r="C71" s="18">
        <v>352</v>
      </c>
      <c r="D71" s="18">
        <v>0</v>
      </c>
      <c r="E71" s="18">
        <v>0</v>
      </c>
      <c r="F71" s="18">
        <f t="shared" ref="F71:F76" si="16">SUM(C71:E71)</f>
        <v>352</v>
      </c>
      <c r="G71" s="18">
        <v>0</v>
      </c>
      <c r="H71" s="18">
        <v>0</v>
      </c>
      <c r="I71" s="18">
        <v>0</v>
      </c>
      <c r="J71" s="18">
        <f t="shared" ref="J71:J76" si="17">C71-G71</f>
        <v>352</v>
      </c>
      <c r="K71" s="18">
        <f t="shared" ref="K71:K76" si="18">D71-H71</f>
        <v>0</v>
      </c>
      <c r="L71" s="18">
        <f t="shared" ref="L71:L76" si="19">E71-I71</f>
        <v>0</v>
      </c>
      <c r="M71" s="18">
        <f t="shared" ref="M71:M76" si="20">SUM(J71:L71)</f>
        <v>352</v>
      </c>
      <c r="N71" s="29">
        <f t="shared" ref="N71:N76" si="21">SUM(J71*$J$1)+SUM(K71*$K$3)+SUM(L71*$L$4)</f>
        <v>859606.91520000005</v>
      </c>
      <c r="P71" s="37">
        <f t="shared" ref="P71:P76" si="22">P$5*$J71</f>
        <v>859606.91520000005</v>
      </c>
      <c r="Q71" s="37">
        <f t="shared" ref="Q71:Q76" si="23">Q$5*$K71</f>
        <v>0</v>
      </c>
      <c r="R71" s="37">
        <f t="shared" ref="R71:R76" si="24">R$5*$L71</f>
        <v>0</v>
      </c>
      <c r="S71" s="37"/>
      <c r="T71" s="37"/>
      <c r="U71" s="37">
        <f t="shared" ref="U71:U76" si="25">U$5*$J71</f>
        <v>-25700.721408572252</v>
      </c>
      <c r="V71" s="37">
        <f t="shared" ref="V71:V76" si="26">V$5*$K71</f>
        <v>0</v>
      </c>
      <c r="W71" s="37">
        <f t="shared" ref="W71:W76" si="27">W$5*$L71</f>
        <v>0</v>
      </c>
      <c r="X71" s="37"/>
      <c r="Y71" s="18">
        <f t="shared" ref="Y71:Y76" si="28">U71+P71</f>
        <v>833906.19379142777</v>
      </c>
      <c r="Z71" s="37">
        <f t="shared" ref="Z71:Z76" si="29">V71+Q71</f>
        <v>0</v>
      </c>
      <c r="AA71" s="37">
        <f t="shared" ref="AA71:AA76" si="30">W71+R71</f>
        <v>0</v>
      </c>
      <c r="AB71" s="37">
        <f t="shared" ref="AB71:AB92" si="31">SUM(Y71:AA71)</f>
        <v>833906.19379142777</v>
      </c>
    </row>
    <row r="72" spans="1:28" x14ac:dyDescent="0.2">
      <c r="A72" s="18" t="s">
        <v>168</v>
      </c>
      <c r="B72" s="19">
        <v>3534</v>
      </c>
      <c r="C72" s="18">
        <v>239</v>
      </c>
      <c r="D72" s="18">
        <v>0</v>
      </c>
      <c r="E72" s="18">
        <v>0</v>
      </c>
      <c r="F72" s="18">
        <f t="shared" si="16"/>
        <v>239</v>
      </c>
      <c r="G72" s="18">
        <v>0</v>
      </c>
      <c r="H72" s="18">
        <v>0</v>
      </c>
      <c r="I72" s="18">
        <v>0</v>
      </c>
      <c r="J72" s="18">
        <f t="shared" si="17"/>
        <v>239</v>
      </c>
      <c r="K72" s="18">
        <f t="shared" si="18"/>
        <v>0</v>
      </c>
      <c r="L72" s="18">
        <f t="shared" si="19"/>
        <v>0</v>
      </c>
      <c r="M72" s="18">
        <f t="shared" si="20"/>
        <v>239</v>
      </c>
      <c r="N72" s="29">
        <f t="shared" si="21"/>
        <v>583653.55890000006</v>
      </c>
      <c r="P72" s="37">
        <f t="shared" si="22"/>
        <v>583653.55890000006</v>
      </c>
      <c r="Q72" s="37">
        <f t="shared" si="23"/>
        <v>0</v>
      </c>
      <c r="R72" s="37">
        <f t="shared" si="24"/>
        <v>0</v>
      </c>
      <c r="S72" s="37"/>
      <c r="T72" s="37"/>
      <c r="U72" s="37">
        <f t="shared" si="25"/>
        <v>-17450.20572911582</v>
      </c>
      <c r="V72" s="37">
        <f t="shared" si="26"/>
        <v>0</v>
      </c>
      <c r="W72" s="37">
        <f t="shared" si="27"/>
        <v>0</v>
      </c>
      <c r="X72" s="37"/>
      <c r="Y72" s="18">
        <f t="shared" si="28"/>
        <v>566203.35317088419</v>
      </c>
      <c r="Z72" s="37">
        <f t="shared" si="29"/>
        <v>0</v>
      </c>
      <c r="AA72" s="37">
        <f t="shared" si="30"/>
        <v>0</v>
      </c>
      <c r="AB72" s="37">
        <f t="shared" si="31"/>
        <v>566203.35317088419</v>
      </c>
    </row>
    <row r="73" spans="1:28" x14ac:dyDescent="0.2">
      <c r="A73" s="18" t="s">
        <v>169</v>
      </c>
      <c r="B73" s="19">
        <v>3532</v>
      </c>
      <c r="C73" s="18">
        <v>303</v>
      </c>
      <c r="D73" s="18">
        <v>0</v>
      </c>
      <c r="E73" s="18">
        <v>0</v>
      </c>
      <c r="F73" s="18">
        <f t="shared" si="16"/>
        <v>303</v>
      </c>
      <c r="G73" s="18">
        <v>0</v>
      </c>
      <c r="H73" s="18">
        <v>0</v>
      </c>
      <c r="I73" s="18">
        <v>0</v>
      </c>
      <c r="J73" s="18">
        <f t="shared" si="17"/>
        <v>303</v>
      </c>
      <c r="K73" s="18">
        <f t="shared" si="18"/>
        <v>0</v>
      </c>
      <c r="L73" s="18">
        <f t="shared" si="19"/>
        <v>0</v>
      </c>
      <c r="M73" s="18">
        <f t="shared" si="20"/>
        <v>303</v>
      </c>
      <c r="N73" s="29">
        <f t="shared" si="21"/>
        <v>739945.72530000005</v>
      </c>
      <c r="P73" s="37">
        <f t="shared" si="22"/>
        <v>739945.72530000005</v>
      </c>
      <c r="Q73" s="37">
        <f t="shared" si="23"/>
        <v>0</v>
      </c>
      <c r="R73" s="37">
        <f t="shared" si="24"/>
        <v>0</v>
      </c>
      <c r="S73" s="37"/>
      <c r="T73" s="37"/>
      <c r="U73" s="37">
        <f t="shared" si="25"/>
        <v>-22123.064167038046</v>
      </c>
      <c r="V73" s="37">
        <f t="shared" si="26"/>
        <v>0</v>
      </c>
      <c r="W73" s="37">
        <f t="shared" si="27"/>
        <v>0</v>
      </c>
      <c r="X73" s="37"/>
      <c r="Y73" s="18">
        <f t="shared" si="28"/>
        <v>717822.66113296198</v>
      </c>
      <c r="Z73" s="37">
        <f t="shared" si="29"/>
        <v>0</v>
      </c>
      <c r="AA73" s="37">
        <f t="shared" si="30"/>
        <v>0</v>
      </c>
      <c r="AB73" s="37">
        <f t="shared" si="31"/>
        <v>717822.66113296198</v>
      </c>
    </row>
    <row r="74" spans="1:28" x14ac:dyDescent="0.2">
      <c r="A74" s="18" t="s">
        <v>112</v>
      </c>
      <c r="B74" s="19">
        <v>3546</v>
      </c>
      <c r="C74" s="18">
        <v>533</v>
      </c>
      <c r="D74" s="18">
        <v>0</v>
      </c>
      <c r="E74" s="18">
        <v>0</v>
      </c>
      <c r="F74" s="18">
        <f t="shared" si="16"/>
        <v>533</v>
      </c>
      <c r="G74" s="18">
        <v>0</v>
      </c>
      <c r="H74" s="18">
        <v>0</v>
      </c>
      <c r="I74" s="18">
        <v>0</v>
      </c>
      <c r="J74" s="18">
        <f t="shared" si="17"/>
        <v>533</v>
      </c>
      <c r="K74" s="18">
        <f t="shared" si="18"/>
        <v>0</v>
      </c>
      <c r="L74" s="18">
        <f t="shared" si="19"/>
        <v>0</v>
      </c>
      <c r="M74" s="18">
        <f t="shared" si="20"/>
        <v>533</v>
      </c>
      <c r="N74" s="29">
        <f t="shared" si="21"/>
        <v>1301620.6983</v>
      </c>
      <c r="P74" s="37">
        <f t="shared" si="22"/>
        <v>1301620.6983</v>
      </c>
      <c r="Q74" s="37">
        <f t="shared" si="23"/>
        <v>0</v>
      </c>
      <c r="R74" s="37">
        <f t="shared" si="24"/>
        <v>0</v>
      </c>
      <c r="S74" s="37"/>
      <c r="T74" s="37"/>
      <c r="U74" s="37">
        <f t="shared" si="25"/>
        <v>-38916.149178321051</v>
      </c>
      <c r="V74" s="37">
        <f t="shared" si="26"/>
        <v>0</v>
      </c>
      <c r="W74" s="37">
        <f t="shared" si="27"/>
        <v>0</v>
      </c>
      <c r="X74" s="37"/>
      <c r="Y74" s="18">
        <f t="shared" si="28"/>
        <v>1262704.549121679</v>
      </c>
      <c r="Z74" s="37">
        <f t="shared" si="29"/>
        <v>0</v>
      </c>
      <c r="AA74" s="37">
        <f t="shared" si="30"/>
        <v>0</v>
      </c>
      <c r="AB74" s="37">
        <f t="shared" si="31"/>
        <v>1262704.549121679</v>
      </c>
    </row>
    <row r="75" spans="1:28" x14ac:dyDescent="0.2">
      <c r="A75" s="18" t="s">
        <v>170</v>
      </c>
      <c r="B75" s="19">
        <v>3530</v>
      </c>
      <c r="C75" s="18">
        <v>311</v>
      </c>
      <c r="D75" s="18">
        <v>0</v>
      </c>
      <c r="E75" s="18">
        <v>0</v>
      </c>
      <c r="F75" s="18">
        <f t="shared" si="16"/>
        <v>311</v>
      </c>
      <c r="G75" s="18">
        <v>0</v>
      </c>
      <c r="H75" s="18">
        <v>0</v>
      </c>
      <c r="I75" s="18">
        <v>0</v>
      </c>
      <c r="J75" s="18">
        <f t="shared" si="17"/>
        <v>311</v>
      </c>
      <c r="K75" s="18">
        <f t="shared" si="18"/>
        <v>0</v>
      </c>
      <c r="L75" s="18">
        <f t="shared" si="19"/>
        <v>0</v>
      </c>
      <c r="M75" s="18">
        <f t="shared" si="20"/>
        <v>311</v>
      </c>
      <c r="N75" s="29">
        <f t="shared" si="21"/>
        <v>759482.24610000011</v>
      </c>
      <c r="P75" s="37">
        <f t="shared" si="22"/>
        <v>759482.24610000011</v>
      </c>
      <c r="Q75" s="37">
        <f t="shared" si="23"/>
        <v>0</v>
      </c>
      <c r="R75" s="37">
        <f t="shared" si="24"/>
        <v>0</v>
      </c>
      <c r="S75" s="37"/>
      <c r="T75" s="37"/>
      <c r="U75" s="37">
        <f t="shared" si="25"/>
        <v>-22707.171471778325</v>
      </c>
      <c r="V75" s="37">
        <f t="shared" si="26"/>
        <v>0</v>
      </c>
      <c r="W75" s="37">
        <f t="shared" si="27"/>
        <v>0</v>
      </c>
      <c r="X75" s="37"/>
      <c r="Y75" s="18">
        <f t="shared" si="28"/>
        <v>736775.0746282218</v>
      </c>
      <c r="Z75" s="37">
        <f t="shared" si="29"/>
        <v>0</v>
      </c>
      <c r="AA75" s="37">
        <f t="shared" si="30"/>
        <v>0</v>
      </c>
      <c r="AB75" s="37">
        <f t="shared" si="31"/>
        <v>736775.0746282218</v>
      </c>
    </row>
    <row r="76" spans="1:28" x14ac:dyDescent="0.2">
      <c r="A76" s="18" t="s">
        <v>114</v>
      </c>
      <c r="B76" s="19">
        <v>2459</v>
      </c>
      <c r="C76" s="18">
        <v>387</v>
      </c>
      <c r="D76" s="18">
        <v>0</v>
      </c>
      <c r="E76" s="18">
        <v>0</v>
      </c>
      <c r="F76" s="18">
        <f t="shared" si="16"/>
        <v>387</v>
      </c>
      <c r="G76" s="18">
        <v>0</v>
      </c>
      <c r="H76" s="18">
        <v>0</v>
      </c>
      <c r="I76" s="18">
        <v>0</v>
      </c>
      <c r="J76" s="18">
        <f t="shared" si="17"/>
        <v>387</v>
      </c>
      <c r="K76" s="18">
        <f t="shared" si="18"/>
        <v>0</v>
      </c>
      <c r="L76" s="18">
        <f t="shared" si="19"/>
        <v>0</v>
      </c>
      <c r="M76" s="18">
        <f t="shared" si="20"/>
        <v>387</v>
      </c>
      <c r="N76" s="29">
        <f t="shared" si="21"/>
        <v>945079.19370000006</v>
      </c>
      <c r="P76" s="37">
        <f t="shared" si="22"/>
        <v>945079.19370000006</v>
      </c>
      <c r="Q76" s="37">
        <f t="shared" si="23"/>
        <v>0</v>
      </c>
      <c r="R76" s="37">
        <f t="shared" si="24"/>
        <v>0</v>
      </c>
      <c r="S76" s="37"/>
      <c r="T76" s="37"/>
      <c r="U76" s="37">
        <f t="shared" si="25"/>
        <v>-28256.190866810968</v>
      </c>
      <c r="V76" s="37">
        <f t="shared" si="26"/>
        <v>0</v>
      </c>
      <c r="W76" s="37">
        <f t="shared" si="27"/>
        <v>0</v>
      </c>
      <c r="X76" s="37"/>
      <c r="Y76" s="18">
        <f t="shared" si="28"/>
        <v>916823.00283318909</v>
      </c>
      <c r="Z76" s="37">
        <f t="shared" si="29"/>
        <v>0</v>
      </c>
      <c r="AA76" s="37">
        <f t="shared" si="30"/>
        <v>0</v>
      </c>
      <c r="AB76" s="37">
        <f t="shared" si="31"/>
        <v>916823.00283318909</v>
      </c>
    </row>
    <row r="77" spans="1:28" x14ac:dyDescent="0.2">
      <c r="A77" s="18"/>
      <c r="B77" s="19"/>
      <c r="C77" s="18"/>
      <c r="D77" s="18"/>
      <c r="E77" s="18"/>
      <c r="F77" s="18"/>
      <c r="G77" s="18"/>
      <c r="H77" s="18"/>
      <c r="I77" s="18"/>
      <c r="J77" s="18"/>
      <c r="K77" s="18"/>
      <c r="L77" s="18"/>
      <c r="M77" s="18"/>
      <c r="N77" s="30"/>
      <c r="P77" s="37"/>
      <c r="Q77" s="37"/>
      <c r="R77" s="37"/>
      <c r="S77" s="37"/>
      <c r="T77" s="37"/>
      <c r="U77" s="37"/>
      <c r="V77" s="37"/>
      <c r="W77" s="37"/>
      <c r="X77" s="37"/>
      <c r="Y77" s="18"/>
      <c r="Z77" s="37"/>
      <c r="AA77" s="37"/>
      <c r="AB77" s="37"/>
    </row>
    <row r="78" spans="1:28" x14ac:dyDescent="0.2">
      <c r="A78" s="9" t="s">
        <v>171</v>
      </c>
      <c r="B78" s="9" t="s">
        <v>171</v>
      </c>
      <c r="C78" s="9">
        <f>SUM(C7:C77)</f>
        <v>21126</v>
      </c>
      <c r="D78" s="9">
        <f>SUM(D7:D77)</f>
        <v>0</v>
      </c>
      <c r="E78" s="9">
        <f>SUM(E7:E77)</f>
        <v>0</v>
      </c>
      <c r="F78" s="9">
        <f>SUM(F7:F77)</f>
        <v>21126</v>
      </c>
      <c r="G78" s="9">
        <v>127</v>
      </c>
      <c r="H78" s="9">
        <v>0</v>
      </c>
      <c r="I78" s="9">
        <v>0</v>
      </c>
      <c r="J78" s="9">
        <f>SUM(J7:J77)</f>
        <v>20999</v>
      </c>
      <c r="K78" s="9">
        <f>SUM(K7:K77)</f>
        <v>0</v>
      </c>
      <c r="L78" s="9">
        <f>SUM(L7:L77)</f>
        <v>0</v>
      </c>
      <c r="M78" s="9">
        <f>SUM(M7:M77)</f>
        <v>20999</v>
      </c>
      <c r="N78" s="9">
        <f>SUM(N7:N77)</f>
        <v>51280925.034899987</v>
      </c>
      <c r="P78" s="9">
        <f>SUM(P7:P77)</f>
        <v>51280925.034899987</v>
      </c>
      <c r="Q78" s="9">
        <f>SUM(Q7:Q77)</f>
        <v>0</v>
      </c>
      <c r="R78" s="9">
        <f>SUM(R7:R77)</f>
        <v>0</v>
      </c>
      <c r="S78" s="37"/>
      <c r="T78" s="37"/>
      <c r="U78" s="9">
        <f>SUM(U7:U77)</f>
        <v>-1438364.2379229353</v>
      </c>
      <c r="V78" s="9">
        <f>SUM(V7:V77)</f>
        <v>0</v>
      </c>
      <c r="W78" s="9">
        <f>SUM(W7:W77)</f>
        <v>0</v>
      </c>
      <c r="X78" s="37"/>
      <c r="Y78" s="9">
        <f>SUM(Y7:Y77)</f>
        <v>49842560.796977066</v>
      </c>
      <c r="Z78" s="9">
        <f>SUM(Z7:Z77)</f>
        <v>0</v>
      </c>
      <c r="AA78" s="9">
        <f>SUM(AA7:AA77)</f>
        <v>0</v>
      </c>
      <c r="AB78" s="9">
        <f>SUM(AB7:AB77)</f>
        <v>49842560.796977066</v>
      </c>
    </row>
    <row r="79" spans="1:28" x14ac:dyDescent="0.2">
      <c r="A79" s="18"/>
      <c r="B79" s="19"/>
      <c r="C79" s="18"/>
      <c r="D79" s="18"/>
      <c r="E79" s="18"/>
      <c r="F79" s="18"/>
      <c r="G79" s="18"/>
      <c r="H79" s="18"/>
      <c r="I79" s="18"/>
      <c r="J79" s="18"/>
      <c r="K79" s="18"/>
      <c r="L79" s="18"/>
      <c r="M79" s="18"/>
      <c r="N79" s="30"/>
      <c r="P79" s="37"/>
      <c r="Q79" s="37"/>
      <c r="R79" s="37"/>
      <c r="S79" s="37"/>
      <c r="T79" s="37"/>
      <c r="U79" s="37"/>
      <c r="V79" s="37"/>
      <c r="W79" s="37"/>
      <c r="X79" s="37"/>
      <c r="Y79" s="18"/>
      <c r="Z79" s="9"/>
      <c r="AA79" s="37"/>
      <c r="AB79" s="37"/>
    </row>
    <row r="80" spans="1:28" x14ac:dyDescent="0.2">
      <c r="A80" s="18" t="s">
        <v>127</v>
      </c>
      <c r="B80" s="19">
        <v>5402</v>
      </c>
      <c r="C80" s="18">
        <v>0</v>
      </c>
      <c r="D80" s="18">
        <v>784</v>
      </c>
      <c r="E80" s="18">
        <v>549</v>
      </c>
      <c r="F80" s="18">
        <f t="shared" ref="F80:F92" si="32">SUM(C80:E80)</f>
        <v>1333</v>
      </c>
      <c r="G80" s="18">
        <v>0</v>
      </c>
      <c r="H80" s="18">
        <v>0</v>
      </c>
      <c r="I80" s="18">
        <v>0</v>
      </c>
      <c r="J80" s="18">
        <f t="shared" ref="J80:J92" si="33">C80-G80</f>
        <v>0</v>
      </c>
      <c r="K80" s="18">
        <f t="shared" ref="K80" si="34">D80-H80</f>
        <v>784</v>
      </c>
      <c r="L80" s="18">
        <f t="shared" ref="L80" si="35">E80-I80</f>
        <v>549</v>
      </c>
      <c r="M80" s="18">
        <f t="shared" ref="M80:M92" si="36">SUM(J80:L80)</f>
        <v>1333</v>
      </c>
      <c r="N80" s="29">
        <f t="shared" ref="N80:N92" si="37">SUM(J80*$J$1)+SUM(K80*$K$3)+SUM(L80*$L$4)</f>
        <v>4853908.1850000005</v>
      </c>
      <c r="P80" s="37">
        <f t="shared" ref="P80:P92" si="38">P$5*$J80</f>
        <v>0</v>
      </c>
      <c r="Q80" s="37">
        <f t="shared" ref="Q80:Q92" si="39">Q$5*$K80</f>
        <v>2716721.3472000002</v>
      </c>
      <c r="R80" s="37">
        <f t="shared" ref="R80:R92" si="40">R$5*$L80</f>
        <v>2137186.8378000003</v>
      </c>
      <c r="S80" s="37" t="s">
        <v>950</v>
      </c>
      <c r="T80" s="37"/>
      <c r="U80" s="37"/>
      <c r="V80" s="37"/>
      <c r="W80" s="37"/>
      <c r="X80" s="37" t="s">
        <v>950</v>
      </c>
      <c r="Y80" s="18">
        <f t="shared" ref="Y80" si="41">U80+P80</f>
        <v>0</v>
      </c>
      <c r="Z80" s="37">
        <f t="shared" ref="Z80" si="42">V80+Q80</f>
        <v>2716721.3472000002</v>
      </c>
      <c r="AA80" s="37">
        <f t="shared" ref="AA80" si="43">W80+R80</f>
        <v>2137186.8378000003</v>
      </c>
      <c r="AB80" s="37">
        <f t="shared" si="31"/>
        <v>4853908.1850000005</v>
      </c>
    </row>
    <row r="81" spans="1:28" x14ac:dyDescent="0.2">
      <c r="A81" s="18" t="s">
        <v>116</v>
      </c>
      <c r="B81" s="19">
        <v>4608</v>
      </c>
      <c r="C81" s="18">
        <v>0</v>
      </c>
      <c r="D81" s="18">
        <v>317</v>
      </c>
      <c r="E81" s="18">
        <v>241</v>
      </c>
      <c r="F81" s="18">
        <f t="shared" si="32"/>
        <v>558</v>
      </c>
      <c r="G81" s="18">
        <v>0</v>
      </c>
      <c r="H81" s="18">
        <v>0</v>
      </c>
      <c r="I81" s="18">
        <v>0</v>
      </c>
      <c r="J81" s="18">
        <f t="shared" si="33"/>
        <v>0</v>
      </c>
      <c r="K81" s="18">
        <f t="shared" ref="K81:K92" si="44">D81-H81</f>
        <v>317</v>
      </c>
      <c r="L81" s="18">
        <f t="shared" ref="L81:L92" si="45">E81-I81</f>
        <v>241</v>
      </c>
      <c r="M81" s="18">
        <f t="shared" si="36"/>
        <v>558</v>
      </c>
      <c r="N81" s="29">
        <f>SUM(J81*$J$1)+SUM(K81*$K$3)+SUM(L81*$L$4)</f>
        <v>2036652.4388000001</v>
      </c>
      <c r="P81" s="37">
        <f t="shared" si="38"/>
        <v>0</v>
      </c>
      <c r="Q81" s="37">
        <f t="shared" si="39"/>
        <v>1098470.2386</v>
      </c>
      <c r="R81" s="37">
        <f t="shared" si="40"/>
        <v>938182.20020000008</v>
      </c>
      <c r="S81" s="37"/>
      <c r="T81" s="37"/>
      <c r="U81" s="37">
        <f t="shared" ref="U81:U82" si="46">U$5*$J81</f>
        <v>0</v>
      </c>
      <c r="V81" s="37">
        <f t="shared" ref="V81:V82" si="47">V$5*$K81</f>
        <v>-18861.838539380926</v>
      </c>
      <c r="W81" s="37">
        <f t="shared" ref="W81:W82" si="48">W$5*$L81</f>
        <v>-14339.757375365311</v>
      </c>
      <c r="X81" s="37"/>
      <c r="Y81" s="18">
        <f t="shared" ref="Y81:Y92" si="49">U81+P81</f>
        <v>0</v>
      </c>
      <c r="Z81" s="37">
        <f t="shared" ref="Z81:Z92" si="50">V81+Q81</f>
        <v>1079608.4000606192</v>
      </c>
      <c r="AA81" s="37">
        <f t="shared" ref="AA81:AA92" si="51">W81+R81</f>
        <v>923842.44282463472</v>
      </c>
      <c r="AB81" s="37">
        <f t="shared" si="31"/>
        <v>2003450.842885254</v>
      </c>
    </row>
    <row r="82" spans="1:28" x14ac:dyDescent="0.2">
      <c r="A82" s="18" t="s">
        <v>172</v>
      </c>
      <c r="B82" s="19">
        <v>4178</v>
      </c>
      <c r="C82" s="18">
        <v>0</v>
      </c>
      <c r="D82" s="18">
        <v>783</v>
      </c>
      <c r="E82" s="18">
        <v>525</v>
      </c>
      <c r="F82" s="18">
        <f t="shared" si="32"/>
        <v>1308</v>
      </c>
      <c r="G82" s="18">
        <v>0</v>
      </c>
      <c r="H82" s="18">
        <v>0</v>
      </c>
      <c r="I82" s="18">
        <v>0</v>
      </c>
      <c r="J82" s="18">
        <f t="shared" si="33"/>
        <v>0</v>
      </c>
      <c r="K82" s="18">
        <f t="shared" si="44"/>
        <v>783</v>
      </c>
      <c r="L82" s="18">
        <f t="shared" si="45"/>
        <v>525</v>
      </c>
      <c r="M82" s="18">
        <f t="shared" si="36"/>
        <v>1308</v>
      </c>
      <c r="N82" s="29">
        <f>SUM(J82*$J$1)+SUM(K82*$K$3)+SUM(L82*$L$4)</f>
        <v>4757014.0464000003</v>
      </c>
      <c r="P82" s="37">
        <f t="shared" si="38"/>
        <v>0</v>
      </c>
      <c r="Q82" s="37">
        <f t="shared" si="39"/>
        <v>2713256.1414000001</v>
      </c>
      <c r="R82" s="37">
        <f t="shared" si="40"/>
        <v>2043757.905</v>
      </c>
      <c r="S82" s="37"/>
      <c r="T82" s="37"/>
      <c r="U82" s="37">
        <f t="shared" si="46"/>
        <v>0</v>
      </c>
      <c r="V82" s="37">
        <f t="shared" si="47"/>
        <v>-46589.336202950362</v>
      </c>
      <c r="W82" s="37">
        <f t="shared" si="48"/>
        <v>-31238.060672476298</v>
      </c>
      <c r="X82" s="37"/>
      <c r="Y82" s="18">
        <f t="shared" si="49"/>
        <v>0</v>
      </c>
      <c r="Z82" s="37">
        <f t="shared" si="50"/>
        <v>2666666.8051970499</v>
      </c>
      <c r="AA82" s="37">
        <f t="shared" si="51"/>
        <v>2012519.8443275238</v>
      </c>
      <c r="AB82" s="37">
        <f t="shared" si="31"/>
        <v>4679186.6495245732</v>
      </c>
    </row>
    <row r="83" spans="1:28" x14ac:dyDescent="0.2">
      <c r="A83" s="18" t="s">
        <v>118</v>
      </c>
      <c r="B83" s="19">
        <v>4181</v>
      </c>
      <c r="C83" s="18">
        <v>0</v>
      </c>
      <c r="D83" s="18">
        <v>651</v>
      </c>
      <c r="E83" s="18">
        <v>432</v>
      </c>
      <c r="F83" s="18">
        <f t="shared" si="32"/>
        <v>1083</v>
      </c>
      <c r="G83" s="18">
        <v>0</v>
      </c>
      <c r="H83" s="18">
        <v>8</v>
      </c>
      <c r="I83" s="18">
        <v>8</v>
      </c>
      <c r="J83" s="18">
        <f t="shared" si="33"/>
        <v>0</v>
      </c>
      <c r="K83" s="18">
        <f t="shared" si="44"/>
        <v>643</v>
      </c>
      <c r="L83" s="18">
        <f t="shared" si="45"/>
        <v>424</v>
      </c>
      <c r="M83" s="18">
        <f t="shared" si="36"/>
        <v>1067</v>
      </c>
      <c r="N83" s="29">
        <f t="shared" si="37"/>
        <v>3878705.1422000006</v>
      </c>
      <c r="P83" s="37">
        <f t="shared" si="38"/>
        <v>0</v>
      </c>
      <c r="Q83" s="37">
        <f t="shared" si="39"/>
        <v>2228127.3294000002</v>
      </c>
      <c r="R83" s="37">
        <f t="shared" si="40"/>
        <v>1650577.8128000002</v>
      </c>
      <c r="S83" s="37" t="s">
        <v>950</v>
      </c>
      <c r="T83" s="37"/>
      <c r="U83" s="37"/>
      <c r="V83" s="37"/>
      <c r="W83" s="37"/>
      <c r="X83" s="37" t="s">
        <v>950</v>
      </c>
      <c r="Y83" s="18">
        <f t="shared" si="49"/>
        <v>0</v>
      </c>
      <c r="Z83" s="37">
        <f t="shared" si="50"/>
        <v>2228127.3294000002</v>
      </c>
      <c r="AA83" s="37">
        <f t="shared" si="51"/>
        <v>1650577.8128000002</v>
      </c>
      <c r="AB83" s="37">
        <f t="shared" si="31"/>
        <v>3878705.1422000006</v>
      </c>
    </row>
    <row r="84" spans="1:28" x14ac:dyDescent="0.2">
      <c r="A84" s="18" t="s">
        <v>119</v>
      </c>
      <c r="B84" s="19">
        <v>4182</v>
      </c>
      <c r="C84" s="18">
        <v>0</v>
      </c>
      <c r="D84" s="18">
        <v>842</v>
      </c>
      <c r="E84" s="18">
        <v>530</v>
      </c>
      <c r="F84" s="18">
        <f t="shared" si="32"/>
        <v>1372</v>
      </c>
      <c r="G84" s="18">
        <v>0</v>
      </c>
      <c r="H84" s="18">
        <v>0</v>
      </c>
      <c r="I84" s="18">
        <v>0</v>
      </c>
      <c r="J84" s="18">
        <f t="shared" si="33"/>
        <v>0</v>
      </c>
      <c r="K84" s="18">
        <f t="shared" si="44"/>
        <v>842</v>
      </c>
      <c r="L84" s="18">
        <f t="shared" si="45"/>
        <v>530</v>
      </c>
      <c r="M84" s="18">
        <f t="shared" si="36"/>
        <v>1372</v>
      </c>
      <c r="N84" s="29">
        <f t="shared" si="37"/>
        <v>4980925.5496000005</v>
      </c>
      <c r="P84" s="37">
        <f t="shared" si="38"/>
        <v>0</v>
      </c>
      <c r="Q84" s="37">
        <f t="shared" si="39"/>
        <v>2917703.2836000002</v>
      </c>
      <c r="R84" s="37">
        <f t="shared" si="40"/>
        <v>2063222.2660000001</v>
      </c>
      <c r="S84" s="37"/>
      <c r="T84" s="37"/>
      <c r="U84" s="37">
        <f t="shared" ref="U84" si="52">U$5*$J84</f>
        <v>0</v>
      </c>
      <c r="V84" s="37">
        <f t="shared" ref="V84" si="53">V$5*$K84</f>
        <v>-50099.899211857228</v>
      </c>
      <c r="W84" s="37">
        <f t="shared" ref="W84" si="54">W$5*$L84</f>
        <v>-31535.566012214167</v>
      </c>
      <c r="X84" s="37"/>
      <c r="Y84" s="18">
        <f t="shared" si="49"/>
        <v>0</v>
      </c>
      <c r="Z84" s="37">
        <f t="shared" si="50"/>
        <v>2867603.3843881432</v>
      </c>
      <c r="AA84" s="37">
        <f t="shared" si="51"/>
        <v>2031686.6999877859</v>
      </c>
      <c r="AB84" s="37">
        <f t="shared" si="31"/>
        <v>4899290.0843759291</v>
      </c>
    </row>
    <row r="85" spans="1:28" x14ac:dyDescent="0.2">
      <c r="A85" s="18" t="s">
        <v>120</v>
      </c>
      <c r="B85" s="221">
        <v>4001</v>
      </c>
      <c r="C85" s="18">
        <v>0</v>
      </c>
      <c r="D85" s="18">
        <v>426</v>
      </c>
      <c r="E85" s="18">
        <v>339</v>
      </c>
      <c r="F85" s="18">
        <f t="shared" si="32"/>
        <v>765</v>
      </c>
      <c r="G85" s="18">
        <v>0</v>
      </c>
      <c r="H85" s="18">
        <v>0</v>
      </c>
      <c r="I85" s="18">
        <v>0</v>
      </c>
      <c r="J85" s="18">
        <f t="shared" si="33"/>
        <v>0</v>
      </c>
      <c r="K85" s="18">
        <f t="shared" si="44"/>
        <v>426</v>
      </c>
      <c r="L85" s="18">
        <f t="shared" si="45"/>
        <v>339</v>
      </c>
      <c r="M85" s="18">
        <f t="shared" si="36"/>
        <v>765</v>
      </c>
      <c r="N85" s="29">
        <f>SUM(J85*$J$1)+SUM(K85*$K$3)+SUM(L85*$L$4)</f>
        <v>2795861.3465999998</v>
      </c>
      <c r="P85" s="37">
        <f t="shared" si="38"/>
        <v>0</v>
      </c>
      <c r="Q85" s="37">
        <f t="shared" si="39"/>
        <v>1476177.6708</v>
      </c>
      <c r="R85" s="37">
        <f t="shared" si="40"/>
        <v>1319683.6758000001</v>
      </c>
      <c r="S85" s="37" t="s">
        <v>950</v>
      </c>
      <c r="T85" s="37"/>
      <c r="U85" s="37"/>
      <c r="V85" s="37"/>
      <c r="W85" s="37"/>
      <c r="X85" s="37" t="s">
        <v>950</v>
      </c>
      <c r="Y85" s="18">
        <f t="shared" si="49"/>
        <v>0</v>
      </c>
      <c r="Z85" s="37">
        <f t="shared" si="50"/>
        <v>1476177.6708</v>
      </c>
      <c r="AA85" s="37">
        <f t="shared" si="51"/>
        <v>1319683.6758000001</v>
      </c>
      <c r="AB85" s="37">
        <f t="shared" si="31"/>
        <v>2795861.3465999998</v>
      </c>
    </row>
    <row r="86" spans="1:28" x14ac:dyDescent="0.2">
      <c r="A86" s="18" t="s">
        <v>173</v>
      </c>
      <c r="B86" s="19">
        <v>5406</v>
      </c>
      <c r="C86" s="18">
        <v>0</v>
      </c>
      <c r="D86" s="18">
        <v>478</v>
      </c>
      <c r="E86" s="18">
        <v>372</v>
      </c>
      <c r="F86" s="18">
        <f t="shared" si="32"/>
        <v>850</v>
      </c>
      <c r="G86" s="18">
        <v>0</v>
      </c>
      <c r="H86" s="18">
        <v>0</v>
      </c>
      <c r="I86" s="18">
        <v>0</v>
      </c>
      <c r="J86" s="18">
        <f t="shared" si="33"/>
        <v>0</v>
      </c>
      <c r="K86" s="18">
        <f t="shared" si="44"/>
        <v>478</v>
      </c>
      <c r="L86" s="18">
        <f t="shared" si="45"/>
        <v>372</v>
      </c>
      <c r="M86" s="18">
        <f t="shared" si="36"/>
        <v>850</v>
      </c>
      <c r="N86" s="29">
        <f t="shared" si="37"/>
        <v>3104516.8308000001</v>
      </c>
      <c r="P86" s="37">
        <f t="shared" si="38"/>
        <v>0</v>
      </c>
      <c r="Q86" s="37">
        <f t="shared" si="39"/>
        <v>1656368.3724</v>
      </c>
      <c r="R86" s="37">
        <f t="shared" si="40"/>
        <v>1448148.4584000001</v>
      </c>
      <c r="S86" s="37"/>
      <c r="T86" s="37"/>
      <c r="U86" s="37">
        <f t="shared" ref="U86:U87" si="55">U$5*$J86</f>
        <v>0</v>
      </c>
      <c r="V86" s="37">
        <f t="shared" ref="V86:V87" si="56">V$5*$K86</f>
        <v>-28441.510478940323</v>
      </c>
      <c r="W86" s="37">
        <f t="shared" ref="W86:W87" si="57">W$5*$L86</f>
        <v>-22134.39727649749</v>
      </c>
      <c r="X86" s="37"/>
      <c r="Y86" s="18">
        <f t="shared" si="49"/>
        <v>0</v>
      </c>
      <c r="Z86" s="37">
        <f t="shared" si="50"/>
        <v>1627926.8619210597</v>
      </c>
      <c r="AA86" s="37">
        <f t="shared" si="51"/>
        <v>1426014.0611235027</v>
      </c>
      <c r="AB86" s="37">
        <f t="shared" si="31"/>
        <v>3053940.9230445623</v>
      </c>
    </row>
    <row r="87" spans="1:28" x14ac:dyDescent="0.2">
      <c r="A87" s="18" t="s">
        <v>174</v>
      </c>
      <c r="B87" s="19">
        <v>5407</v>
      </c>
      <c r="C87" s="18">
        <v>0</v>
      </c>
      <c r="D87" s="18">
        <v>612</v>
      </c>
      <c r="E87" s="18">
        <v>383</v>
      </c>
      <c r="F87" s="18">
        <f t="shared" si="32"/>
        <v>995</v>
      </c>
      <c r="G87" s="18">
        <v>0</v>
      </c>
      <c r="H87" s="18">
        <v>0</v>
      </c>
      <c r="I87" s="18">
        <v>0</v>
      </c>
      <c r="J87" s="18">
        <f t="shared" si="33"/>
        <v>0</v>
      </c>
      <c r="K87" s="18">
        <f t="shared" si="44"/>
        <v>612</v>
      </c>
      <c r="L87" s="18">
        <f t="shared" si="45"/>
        <v>383</v>
      </c>
      <c r="M87" s="18">
        <f t="shared" si="36"/>
        <v>995</v>
      </c>
      <c r="N87" s="29">
        <f t="shared" si="37"/>
        <v>3611676.0022</v>
      </c>
      <c r="P87" s="37">
        <f t="shared" si="38"/>
        <v>0</v>
      </c>
      <c r="Q87" s="37">
        <f t="shared" si="39"/>
        <v>2120705.9495999999</v>
      </c>
      <c r="R87" s="37">
        <f t="shared" si="40"/>
        <v>1490970.0526000001</v>
      </c>
      <c r="S87" s="37"/>
      <c r="T87" s="37"/>
      <c r="U87" s="37">
        <f t="shared" si="55"/>
        <v>0</v>
      </c>
      <c r="V87" s="37">
        <f t="shared" si="56"/>
        <v>-36414.653583915228</v>
      </c>
      <c r="W87" s="37">
        <f t="shared" si="57"/>
        <v>-22788.909023920805</v>
      </c>
      <c r="X87" s="37"/>
      <c r="Y87" s="18">
        <f t="shared" si="49"/>
        <v>0</v>
      </c>
      <c r="Z87" s="37">
        <f t="shared" si="50"/>
        <v>2084291.2960160847</v>
      </c>
      <c r="AA87" s="37">
        <f t="shared" si="51"/>
        <v>1468181.1435760793</v>
      </c>
      <c r="AB87" s="37">
        <f t="shared" si="31"/>
        <v>3552472.439592164</v>
      </c>
    </row>
    <row r="88" spans="1:28" x14ac:dyDescent="0.2">
      <c r="A88" s="18" t="s">
        <v>123</v>
      </c>
      <c r="B88" s="19">
        <v>4607</v>
      </c>
      <c r="C88" s="18">
        <v>0</v>
      </c>
      <c r="D88" s="18">
        <v>701</v>
      </c>
      <c r="E88" s="18">
        <v>475</v>
      </c>
      <c r="F88" s="18">
        <f t="shared" si="32"/>
        <v>1176</v>
      </c>
      <c r="G88" s="18">
        <v>0</v>
      </c>
      <c r="H88" s="18">
        <v>0</v>
      </c>
      <c r="I88" s="18">
        <v>20</v>
      </c>
      <c r="J88" s="18">
        <f t="shared" si="33"/>
        <v>0</v>
      </c>
      <c r="K88" s="18">
        <f t="shared" si="44"/>
        <v>701</v>
      </c>
      <c r="L88" s="18">
        <f t="shared" si="45"/>
        <v>455</v>
      </c>
      <c r="M88" s="18">
        <f t="shared" si="36"/>
        <v>1156</v>
      </c>
      <c r="N88" s="29">
        <f t="shared" si="37"/>
        <v>4200366.1168</v>
      </c>
      <c r="P88" s="37">
        <f t="shared" si="38"/>
        <v>0</v>
      </c>
      <c r="Q88" s="37">
        <f t="shared" si="39"/>
        <v>2429109.2658000002</v>
      </c>
      <c r="R88" s="37">
        <f t="shared" si="40"/>
        <v>1771256.851</v>
      </c>
      <c r="S88" s="37" t="s">
        <v>950</v>
      </c>
      <c r="T88" s="37"/>
      <c r="U88" s="37"/>
      <c r="V88" s="37"/>
      <c r="W88" s="37"/>
      <c r="X88" s="37" t="s">
        <v>950</v>
      </c>
      <c r="Y88" s="18">
        <f t="shared" si="49"/>
        <v>0</v>
      </c>
      <c r="Z88" s="37">
        <f t="shared" si="50"/>
        <v>2429109.2658000002</v>
      </c>
      <c r="AA88" s="37">
        <f t="shared" si="51"/>
        <v>1771256.851</v>
      </c>
      <c r="AB88" s="37">
        <f t="shared" si="31"/>
        <v>4200366.1168</v>
      </c>
    </row>
    <row r="89" spans="1:28" x14ac:dyDescent="0.2">
      <c r="A89" s="18" t="s">
        <v>260</v>
      </c>
      <c r="B89" s="221">
        <v>4002</v>
      </c>
      <c r="C89" s="18">
        <v>0</v>
      </c>
      <c r="D89" s="18">
        <v>368</v>
      </c>
      <c r="E89" s="18">
        <v>382</v>
      </c>
      <c r="F89" s="18">
        <f t="shared" si="32"/>
        <v>750</v>
      </c>
      <c r="G89" s="18">
        <v>0</v>
      </c>
      <c r="H89" s="18">
        <v>0</v>
      </c>
      <c r="I89" s="18">
        <v>0</v>
      </c>
      <c r="J89" s="18">
        <f t="shared" si="33"/>
        <v>0</v>
      </c>
      <c r="K89" s="18">
        <f t="shared" si="44"/>
        <v>368</v>
      </c>
      <c r="L89" s="18">
        <f t="shared" si="45"/>
        <v>382</v>
      </c>
      <c r="M89" s="18">
        <f t="shared" si="36"/>
        <v>750</v>
      </c>
      <c r="N89" s="29">
        <f t="shared" si="37"/>
        <v>2762272.9148000004</v>
      </c>
      <c r="P89" s="37">
        <f t="shared" si="38"/>
        <v>0</v>
      </c>
      <c r="Q89" s="37">
        <f t="shared" si="39"/>
        <v>1275195.7344</v>
      </c>
      <c r="R89" s="37">
        <f t="shared" si="40"/>
        <v>1487077.1804000002</v>
      </c>
      <c r="S89" s="37" t="s">
        <v>950</v>
      </c>
      <c r="T89" s="37"/>
      <c r="U89" s="37"/>
      <c r="V89" s="37"/>
      <c r="W89" s="37"/>
      <c r="X89" s="37" t="s">
        <v>950</v>
      </c>
      <c r="Y89" s="18">
        <f t="shared" si="49"/>
        <v>0</v>
      </c>
      <c r="Z89" s="37">
        <f t="shared" si="50"/>
        <v>1275195.7344</v>
      </c>
      <c r="AA89" s="37">
        <f t="shared" si="51"/>
        <v>1487077.1804000002</v>
      </c>
      <c r="AB89" s="37">
        <f t="shared" si="31"/>
        <v>2762272.9148000004</v>
      </c>
    </row>
    <row r="90" spans="1:28" x14ac:dyDescent="0.2">
      <c r="A90" s="18" t="s">
        <v>175</v>
      </c>
      <c r="B90" s="19">
        <v>4177</v>
      </c>
      <c r="C90" s="18">
        <v>43.75</v>
      </c>
      <c r="D90" s="18">
        <v>331</v>
      </c>
      <c r="E90" s="18">
        <v>282</v>
      </c>
      <c r="F90" s="18">
        <f t="shared" si="32"/>
        <v>656.75</v>
      </c>
      <c r="G90" s="18">
        <v>0</v>
      </c>
      <c r="H90" s="18">
        <v>25</v>
      </c>
      <c r="I90" s="18">
        <v>20</v>
      </c>
      <c r="J90" s="18">
        <f t="shared" si="33"/>
        <v>43.75</v>
      </c>
      <c r="K90" s="18">
        <f t="shared" si="44"/>
        <v>306</v>
      </c>
      <c r="L90" s="18">
        <f t="shared" si="45"/>
        <v>262</v>
      </c>
      <c r="M90" s="18">
        <f>SUM(J90:L90)</f>
        <v>611.75</v>
      </c>
      <c r="N90" s="29">
        <f>SUM(J90*$J$1)+SUM(K90*$K$3)+SUM(L90*$L$4)</f>
        <v>2187125.8393250001</v>
      </c>
      <c r="P90" s="37">
        <f t="shared" si="38"/>
        <v>106840.348125</v>
      </c>
      <c r="Q90" s="37">
        <f t="shared" si="39"/>
        <v>1060352.9748</v>
      </c>
      <c r="R90" s="37">
        <f t="shared" si="40"/>
        <v>1019932.5164000001</v>
      </c>
      <c r="S90" s="37" t="s">
        <v>951</v>
      </c>
      <c r="T90" s="37"/>
      <c r="U90" s="768">
        <f>W$5*$J90</f>
        <v>-2603.1717227063582</v>
      </c>
      <c r="V90" s="37">
        <f t="shared" ref="V90" si="58">V$5*$K90</f>
        <v>-18207.326791957614</v>
      </c>
      <c r="W90" s="37">
        <f t="shared" ref="W90" si="59">W$5*$L90</f>
        <v>-15589.279802264362</v>
      </c>
      <c r="X90" s="37" t="s">
        <v>951</v>
      </c>
      <c r="Y90" s="18">
        <f t="shared" si="49"/>
        <v>104237.17640229364</v>
      </c>
      <c r="Z90" s="37">
        <f t="shared" si="50"/>
        <v>1042145.6480080424</v>
      </c>
      <c r="AA90" s="37">
        <f t="shared" si="51"/>
        <v>1004343.2365977357</v>
      </c>
      <c r="AB90" s="37">
        <f t="shared" si="31"/>
        <v>2150726.0610080715</v>
      </c>
    </row>
    <row r="91" spans="1:28" x14ac:dyDescent="0.2">
      <c r="A91" s="18" t="s">
        <v>126</v>
      </c>
      <c r="B91" s="19">
        <v>5412</v>
      </c>
      <c r="C91" s="18">
        <v>0</v>
      </c>
      <c r="D91" s="18">
        <v>742</v>
      </c>
      <c r="E91" s="18">
        <v>501</v>
      </c>
      <c r="F91" s="18">
        <f t="shared" si="32"/>
        <v>1243</v>
      </c>
      <c r="G91" s="18">
        <v>0</v>
      </c>
      <c r="H91" s="18">
        <v>0</v>
      </c>
      <c r="I91" s="18">
        <v>0</v>
      </c>
      <c r="J91" s="18">
        <f t="shared" si="33"/>
        <v>0</v>
      </c>
      <c r="K91" s="18">
        <f t="shared" si="44"/>
        <v>742</v>
      </c>
      <c r="L91" s="18">
        <f t="shared" si="45"/>
        <v>501</v>
      </c>
      <c r="M91" s="18">
        <f t="shared" si="36"/>
        <v>1243</v>
      </c>
      <c r="N91" s="29">
        <f t="shared" si="37"/>
        <v>4521511.6758000003</v>
      </c>
      <c r="P91" s="37">
        <f t="shared" si="38"/>
        <v>0</v>
      </c>
      <c r="Q91" s="37">
        <f t="shared" si="39"/>
        <v>2571182.7036000001</v>
      </c>
      <c r="R91" s="37">
        <f t="shared" si="40"/>
        <v>1950328.9722000002</v>
      </c>
      <c r="S91" s="37" t="s">
        <v>950</v>
      </c>
      <c r="T91" s="37"/>
      <c r="U91" s="37"/>
      <c r="V91" s="37"/>
      <c r="W91" s="37"/>
      <c r="X91" s="37" t="s">
        <v>950</v>
      </c>
      <c r="Y91" s="18">
        <f t="shared" si="49"/>
        <v>0</v>
      </c>
      <c r="Z91" s="37">
        <f t="shared" si="50"/>
        <v>2571182.7036000001</v>
      </c>
      <c r="AA91" s="37">
        <f t="shared" si="51"/>
        <v>1950328.9722000002</v>
      </c>
      <c r="AB91" s="37">
        <f t="shared" si="31"/>
        <v>4521511.6758000003</v>
      </c>
    </row>
    <row r="92" spans="1:28" x14ac:dyDescent="0.2">
      <c r="A92" s="18" t="s">
        <v>125</v>
      </c>
      <c r="B92" s="19">
        <v>5414</v>
      </c>
      <c r="C92" s="18">
        <v>0</v>
      </c>
      <c r="D92" s="18">
        <v>632</v>
      </c>
      <c r="E92" s="18">
        <v>405</v>
      </c>
      <c r="F92" s="18">
        <f t="shared" si="32"/>
        <v>1037</v>
      </c>
      <c r="G92" s="18">
        <v>0</v>
      </c>
      <c r="H92" s="18">
        <v>0</v>
      </c>
      <c r="I92" s="18">
        <v>14</v>
      </c>
      <c r="J92" s="18">
        <f t="shared" si="33"/>
        <v>0</v>
      </c>
      <c r="K92" s="18">
        <f t="shared" si="44"/>
        <v>632</v>
      </c>
      <c r="L92" s="18">
        <f t="shared" si="45"/>
        <v>391</v>
      </c>
      <c r="M92" s="18">
        <f t="shared" si="36"/>
        <v>1023</v>
      </c>
      <c r="N92" s="29">
        <f t="shared" si="37"/>
        <v>3712123.0958000002</v>
      </c>
      <c r="P92" s="37">
        <f t="shared" si="38"/>
        <v>0</v>
      </c>
      <c r="Q92" s="37">
        <f t="shared" si="39"/>
        <v>2190010.0656000003</v>
      </c>
      <c r="R92" s="37">
        <f t="shared" si="40"/>
        <v>1522113.0302000002</v>
      </c>
      <c r="S92" s="37" t="s">
        <v>950</v>
      </c>
      <c r="T92" s="37"/>
      <c r="U92" s="37"/>
      <c r="V92" s="37"/>
      <c r="W92" s="37"/>
      <c r="X92" s="37" t="s">
        <v>950</v>
      </c>
      <c r="Y92" s="18">
        <f t="shared" si="49"/>
        <v>0</v>
      </c>
      <c r="Z92" s="37">
        <f t="shared" si="50"/>
        <v>2190010.0656000003</v>
      </c>
      <c r="AA92" s="37">
        <f t="shared" si="51"/>
        <v>1522113.0302000002</v>
      </c>
      <c r="AB92" s="37">
        <f t="shared" si="31"/>
        <v>3712123.0958000002</v>
      </c>
    </row>
    <row r="93" spans="1:28" x14ac:dyDescent="0.2">
      <c r="A93" s="18"/>
      <c r="B93" s="19"/>
      <c r="C93" s="18"/>
      <c r="D93" s="18"/>
      <c r="E93" s="18"/>
      <c r="F93" s="18"/>
      <c r="G93" s="18"/>
      <c r="H93" s="18"/>
      <c r="I93" s="18"/>
      <c r="J93" s="18"/>
      <c r="K93" s="18"/>
      <c r="L93" s="18"/>
      <c r="M93" s="18"/>
      <c r="N93" s="30"/>
      <c r="P93" s="37"/>
      <c r="Q93" s="37"/>
      <c r="R93" s="37"/>
      <c r="S93" s="37"/>
      <c r="T93" s="37"/>
      <c r="U93" s="37"/>
      <c r="V93" s="37"/>
      <c r="W93" s="37"/>
      <c r="X93" s="37"/>
      <c r="Y93" s="18"/>
      <c r="Z93" s="37"/>
      <c r="AA93" s="37"/>
      <c r="AB93" s="37"/>
    </row>
    <row r="94" spans="1:28" x14ac:dyDescent="0.2">
      <c r="A94" s="9" t="s">
        <v>176</v>
      </c>
      <c r="B94" s="9" t="s">
        <v>176</v>
      </c>
      <c r="C94" s="9">
        <f t="shared" ref="C94:N94" si="60">SUM(C80:C93)</f>
        <v>43.75</v>
      </c>
      <c r="D94" s="9">
        <f>SUM(D80:D93)</f>
        <v>7667</v>
      </c>
      <c r="E94" s="9">
        <f>SUM(E80:E93)</f>
        <v>5416</v>
      </c>
      <c r="F94" s="9">
        <f t="shared" si="60"/>
        <v>13126.75</v>
      </c>
      <c r="G94" s="9">
        <v>0</v>
      </c>
      <c r="H94" s="9">
        <v>33</v>
      </c>
      <c r="I94" s="9">
        <v>62</v>
      </c>
      <c r="J94" s="9">
        <f t="shared" si="60"/>
        <v>43.75</v>
      </c>
      <c r="K94" s="9">
        <f t="shared" si="60"/>
        <v>7634</v>
      </c>
      <c r="L94" s="9">
        <f t="shared" si="60"/>
        <v>5354</v>
      </c>
      <c r="M94" s="9">
        <f t="shared" si="60"/>
        <v>13031.75</v>
      </c>
      <c r="N94" s="9">
        <f t="shared" si="60"/>
        <v>47402659.184125014</v>
      </c>
      <c r="P94" s="9">
        <f t="shared" ref="P94:R94" si="61">SUM(P80:P93)</f>
        <v>106840.348125</v>
      </c>
      <c r="Q94" s="9">
        <f t="shared" si="61"/>
        <v>26453381.077200007</v>
      </c>
      <c r="R94" s="9">
        <f t="shared" si="61"/>
        <v>20842437.758800004</v>
      </c>
      <c r="S94" s="37"/>
      <c r="T94" s="37"/>
      <c r="U94" s="9">
        <f t="shared" ref="U94:W94" si="62">SUM(U80:U93)</f>
        <v>-2603.1717227063582</v>
      </c>
      <c r="V94" s="9">
        <f t="shared" si="62"/>
        <v>-198614.56480900169</v>
      </c>
      <c r="W94" s="9">
        <f t="shared" si="62"/>
        <v>-137625.97016273843</v>
      </c>
      <c r="X94" s="37"/>
      <c r="Y94" s="9">
        <f t="shared" ref="Y94:AA94" si="63">SUM(Y80:Y93)</f>
        <v>104237.17640229364</v>
      </c>
      <c r="Z94" s="9">
        <f t="shared" si="63"/>
        <v>26254766.512391001</v>
      </c>
      <c r="AA94" s="9">
        <f t="shared" si="63"/>
        <v>20704811.788637266</v>
      </c>
      <c r="AB94" s="9">
        <f t="shared" ref="AB94" si="64">SUM(AB80:AB93)</f>
        <v>47063815.47743056</v>
      </c>
    </row>
    <row r="95" spans="1:28" x14ac:dyDescent="0.2">
      <c r="A95" s="18"/>
      <c r="B95" s="19"/>
      <c r="C95" s="18"/>
      <c r="D95" s="18"/>
      <c r="E95" s="18"/>
      <c r="F95" s="18"/>
      <c r="G95" s="18"/>
      <c r="H95" s="18"/>
      <c r="I95" s="18"/>
      <c r="J95" s="18"/>
      <c r="K95" s="18"/>
      <c r="L95" s="18"/>
      <c r="M95" s="18"/>
      <c r="N95" s="30"/>
      <c r="P95" s="20"/>
      <c r="Q95" s="20"/>
      <c r="R95" s="20"/>
      <c r="S95" s="37"/>
      <c r="T95" s="37"/>
      <c r="U95" s="20"/>
      <c r="V95" s="20"/>
      <c r="W95" s="20"/>
      <c r="X95" s="37"/>
      <c r="Y95" s="20"/>
      <c r="Z95" s="20"/>
      <c r="AA95" s="20"/>
      <c r="AB95" s="20"/>
    </row>
    <row r="96" spans="1:28" x14ac:dyDescent="0.2">
      <c r="A96" s="9" t="s">
        <v>177</v>
      </c>
      <c r="B96" s="9" t="s">
        <v>178</v>
      </c>
      <c r="C96" s="233">
        <f t="shared" ref="C96:N96" si="65">SUM(C94,C78)</f>
        <v>21169.75</v>
      </c>
      <c r="D96" s="233">
        <f t="shared" si="65"/>
        <v>7667</v>
      </c>
      <c r="E96" s="233">
        <f t="shared" si="65"/>
        <v>5416</v>
      </c>
      <c r="F96" s="9">
        <f>SUM(F94,F78)</f>
        <v>34252.75</v>
      </c>
      <c r="G96" s="9">
        <v>127</v>
      </c>
      <c r="H96" s="9">
        <v>33</v>
      </c>
      <c r="I96" s="9">
        <v>62</v>
      </c>
      <c r="J96" s="9">
        <f t="shared" si="65"/>
        <v>21042.75</v>
      </c>
      <c r="K96" s="9">
        <f t="shared" si="65"/>
        <v>7634</v>
      </c>
      <c r="L96" s="9">
        <f t="shared" si="65"/>
        <v>5354</v>
      </c>
      <c r="M96" s="9">
        <f t="shared" si="65"/>
        <v>34030.75</v>
      </c>
      <c r="N96" s="9">
        <f t="shared" si="65"/>
        <v>98683584.219025001</v>
      </c>
      <c r="P96" s="9">
        <f t="shared" ref="P96:R96" si="66">SUM(P94,P78)</f>
        <v>51387765.383024991</v>
      </c>
      <c r="Q96" s="9">
        <f t="shared" si="66"/>
        <v>26453381.077200007</v>
      </c>
      <c r="R96" s="9">
        <f t="shared" si="66"/>
        <v>20842437.758800004</v>
      </c>
      <c r="S96" s="37"/>
      <c r="T96" s="37"/>
      <c r="U96" s="9">
        <f t="shared" ref="U96:W96" si="67">SUM(U94,U78)</f>
        <v>-1440967.4096456417</v>
      </c>
      <c r="V96" s="9">
        <f t="shared" si="67"/>
        <v>-198614.56480900169</v>
      </c>
      <c r="W96" s="9">
        <f t="shared" si="67"/>
        <v>-137625.97016273843</v>
      </c>
      <c r="X96" s="37"/>
      <c r="Y96" s="9">
        <f t="shared" ref="Y96:AA96" si="68">SUM(Y94,Y78)</f>
        <v>49946797.973379359</v>
      </c>
      <c r="Z96" s="9">
        <f t="shared" si="68"/>
        <v>26254766.512391001</v>
      </c>
      <c r="AA96" s="9">
        <f t="shared" si="68"/>
        <v>20704811.788637266</v>
      </c>
      <c r="AB96" s="9">
        <f t="shared" ref="AB96" si="69">SUM(AB94,AB78)</f>
        <v>96906376.274407625</v>
      </c>
    </row>
    <row r="97" spans="1:28" x14ac:dyDescent="0.2">
      <c r="A97" s="586" t="s">
        <v>867</v>
      </c>
      <c r="B97" s="646">
        <v>12345</v>
      </c>
      <c r="C97" s="9"/>
      <c r="D97" s="9"/>
      <c r="E97" s="9"/>
      <c r="F97" s="9"/>
      <c r="G97" s="9"/>
      <c r="H97" s="9"/>
      <c r="I97" s="9"/>
      <c r="J97" s="9"/>
      <c r="K97" s="9"/>
      <c r="L97" s="9"/>
      <c r="M97" s="9"/>
      <c r="N97" s="9"/>
      <c r="P97" s="37"/>
      <c r="Q97" s="37"/>
      <c r="R97" s="37"/>
      <c r="S97" s="37"/>
      <c r="T97" s="37"/>
      <c r="U97" s="37"/>
      <c r="V97" s="37"/>
      <c r="W97" s="37"/>
      <c r="X97" s="37"/>
      <c r="Y97" s="37"/>
      <c r="Z97" s="37"/>
      <c r="AA97" s="37"/>
      <c r="AB97" s="37"/>
    </row>
    <row r="99" spans="1:28" x14ac:dyDescent="0.2">
      <c r="X99" s="37"/>
    </row>
    <row r="100" spans="1:28" x14ac:dyDescent="0.2">
      <c r="N100" s="240">
        <f>(98667383+17874229+4347719+3201102)/136100710</f>
        <v>0.91175448680613058</v>
      </c>
      <c r="O100" t="s">
        <v>282</v>
      </c>
      <c r="P100" s="37">
        <f>P96+Q96+R96</f>
        <v>98683584.219025001</v>
      </c>
      <c r="U100" s="37">
        <f>U96+V96+W96</f>
        <v>-1777207.9446173818</v>
      </c>
      <c r="X100" s="37">
        <f>Y96+Z96+AA96</f>
        <v>96906376.274407625</v>
      </c>
    </row>
    <row r="102" spans="1:28" x14ac:dyDescent="0.2">
      <c r="A102" s="20" t="s">
        <v>561</v>
      </c>
      <c r="B102" s="10">
        <v>206189</v>
      </c>
    </row>
    <row r="103" spans="1:28" x14ac:dyDescent="0.2">
      <c r="A103" s="20" t="s">
        <v>564</v>
      </c>
      <c r="B103" s="10" t="s">
        <v>565</v>
      </c>
    </row>
    <row r="104" spans="1:28" x14ac:dyDescent="0.2">
      <c r="A104" s="20" t="s">
        <v>36</v>
      </c>
      <c r="B104" s="10">
        <v>1014</v>
      </c>
    </row>
    <row r="105" spans="1:28" x14ac:dyDescent="0.2">
      <c r="A105" s="20" t="s">
        <v>566</v>
      </c>
      <c r="B105" s="10" t="s">
        <v>568</v>
      </c>
    </row>
    <row r="106" spans="1:28" x14ac:dyDescent="0.2">
      <c r="A106" s="20" t="s">
        <v>575</v>
      </c>
      <c r="B106" s="10" t="s">
        <v>576</v>
      </c>
    </row>
    <row r="107" spans="1:28" x14ac:dyDescent="0.2">
      <c r="A107" s="20" t="s">
        <v>577</v>
      </c>
      <c r="B107" s="10">
        <v>206124</v>
      </c>
    </row>
    <row r="108" spans="1:28" x14ac:dyDescent="0.2">
      <c r="A108" s="20" t="s">
        <v>580</v>
      </c>
      <c r="B108" s="10" t="s">
        <v>582</v>
      </c>
    </row>
    <row r="109" spans="1:28" x14ac:dyDescent="0.2">
      <c r="A109" s="20" t="s">
        <v>583</v>
      </c>
      <c r="B109" s="10">
        <v>206126</v>
      </c>
    </row>
    <row r="110" spans="1:28" x14ac:dyDescent="0.2">
      <c r="A110" s="20" t="s">
        <v>585</v>
      </c>
      <c r="B110" s="10">
        <v>206111</v>
      </c>
    </row>
    <row r="111" spans="1:28" x14ac:dyDescent="0.2">
      <c r="A111" s="20" t="s">
        <v>587</v>
      </c>
      <c r="B111" s="10">
        <v>206091</v>
      </c>
    </row>
    <row r="112" spans="1:28" x14ac:dyDescent="0.2">
      <c r="A112" s="20" t="s">
        <v>37</v>
      </c>
      <c r="B112" s="10">
        <v>1017</v>
      </c>
    </row>
    <row r="113" spans="1:2" x14ac:dyDescent="0.2">
      <c r="A113" s="20" t="s">
        <v>38</v>
      </c>
      <c r="B113" s="10">
        <v>1006</v>
      </c>
    </row>
    <row r="114" spans="1:2" x14ac:dyDescent="0.2">
      <c r="A114" s="20" t="s">
        <v>589</v>
      </c>
      <c r="B114" s="10" t="s">
        <v>590</v>
      </c>
    </row>
    <row r="115" spans="1:2" x14ac:dyDescent="0.2">
      <c r="A115" s="20" t="s">
        <v>591</v>
      </c>
      <c r="B115" s="10">
        <v>206128</v>
      </c>
    </row>
    <row r="116" spans="1:2" x14ac:dyDescent="0.2">
      <c r="A116" s="20" t="s">
        <v>908</v>
      </c>
      <c r="B116" s="10" t="s">
        <v>617</v>
      </c>
    </row>
    <row r="117" spans="1:2" x14ac:dyDescent="0.2">
      <c r="A117" s="20" t="s">
        <v>898</v>
      </c>
      <c r="B117" s="10">
        <v>205921</v>
      </c>
    </row>
    <row r="118" spans="1:2" x14ac:dyDescent="0.2">
      <c r="A118" s="20" t="s">
        <v>897</v>
      </c>
      <c r="B118" s="10">
        <v>205999</v>
      </c>
    </row>
    <row r="119" spans="1:2" x14ac:dyDescent="0.2">
      <c r="A119" s="20" t="s">
        <v>896</v>
      </c>
      <c r="B119" s="10" t="s">
        <v>598</v>
      </c>
    </row>
    <row r="120" spans="1:2" x14ac:dyDescent="0.2">
      <c r="A120" s="20" t="s">
        <v>899</v>
      </c>
      <c r="B120" s="10">
        <v>205922</v>
      </c>
    </row>
    <row r="121" spans="1:2" x14ac:dyDescent="0.2">
      <c r="A121" s="20" t="s">
        <v>900</v>
      </c>
      <c r="B121" s="10" t="s">
        <v>603</v>
      </c>
    </row>
    <row r="122" spans="1:2" x14ac:dyDescent="0.2">
      <c r="A122" s="20" t="s">
        <v>901</v>
      </c>
      <c r="B122" s="10">
        <v>205849</v>
      </c>
    </row>
    <row r="123" spans="1:2" x14ac:dyDescent="0.2">
      <c r="A123" s="20" t="s">
        <v>902</v>
      </c>
      <c r="B123" s="10" t="s">
        <v>606</v>
      </c>
    </row>
    <row r="124" spans="1:2" x14ac:dyDescent="0.2">
      <c r="A124" s="20" t="s">
        <v>903</v>
      </c>
      <c r="B124" s="10">
        <v>2</v>
      </c>
    </row>
    <row r="125" spans="1:2" x14ac:dyDescent="0.2">
      <c r="A125" s="20" t="s">
        <v>904</v>
      </c>
      <c r="B125" s="10">
        <v>205956</v>
      </c>
    </row>
    <row r="126" spans="1:2" x14ac:dyDescent="0.2">
      <c r="A126" s="20" t="s">
        <v>907</v>
      </c>
      <c r="B126" s="10" t="s">
        <v>613</v>
      </c>
    </row>
    <row r="127" spans="1:2" x14ac:dyDescent="0.2">
      <c r="A127" s="20" t="s">
        <v>906</v>
      </c>
      <c r="B127" s="10" t="s">
        <v>615</v>
      </c>
    </row>
    <row r="128" spans="1:2" x14ac:dyDescent="0.2">
      <c r="A128" s="20" t="s">
        <v>905</v>
      </c>
      <c r="B128" s="10" t="s">
        <v>612</v>
      </c>
    </row>
    <row r="129" spans="1:2" x14ac:dyDescent="0.2">
      <c r="A129" s="20" t="s">
        <v>909</v>
      </c>
      <c r="B129" s="10" t="s">
        <v>618</v>
      </c>
    </row>
    <row r="130" spans="1:2" x14ac:dyDescent="0.2">
      <c r="A130" s="20" t="s">
        <v>910</v>
      </c>
      <c r="B130" s="10" t="s">
        <v>619</v>
      </c>
    </row>
    <row r="131" spans="1:2" x14ac:dyDescent="0.2">
      <c r="A131" s="20" t="s">
        <v>911</v>
      </c>
      <c r="B131" s="10" t="s">
        <v>620</v>
      </c>
    </row>
    <row r="132" spans="1:2" x14ac:dyDescent="0.2">
      <c r="A132" s="20" t="s">
        <v>621</v>
      </c>
      <c r="B132" s="10" t="s">
        <v>622</v>
      </c>
    </row>
    <row r="133" spans="1:2" x14ac:dyDescent="0.2">
      <c r="A133" s="20" t="s">
        <v>623</v>
      </c>
      <c r="B133" s="10" t="s">
        <v>625</v>
      </c>
    </row>
    <row r="134" spans="1:2" x14ac:dyDescent="0.2">
      <c r="A134" s="20" t="s">
        <v>628</v>
      </c>
      <c r="B134" s="10" t="s">
        <v>629</v>
      </c>
    </row>
    <row r="135" spans="1:2" x14ac:dyDescent="0.2">
      <c r="A135" s="20" t="s">
        <v>630</v>
      </c>
      <c r="B135" s="10">
        <v>258417</v>
      </c>
    </row>
    <row r="136" spans="1:2" x14ac:dyDescent="0.2">
      <c r="A136" s="20" t="s">
        <v>632</v>
      </c>
      <c r="B136" s="10" t="s">
        <v>634</v>
      </c>
    </row>
    <row r="137" spans="1:2" x14ac:dyDescent="0.2">
      <c r="A137" s="20" t="s">
        <v>635</v>
      </c>
      <c r="B137" s="10" t="s">
        <v>637</v>
      </c>
    </row>
    <row r="138" spans="1:2" x14ac:dyDescent="0.2">
      <c r="A138" s="20" t="s">
        <v>638</v>
      </c>
      <c r="B138" s="10">
        <v>206106</v>
      </c>
    </row>
    <row r="139" spans="1:2" x14ac:dyDescent="0.2">
      <c r="A139" s="20" t="s">
        <v>640</v>
      </c>
      <c r="B139" s="10" t="s">
        <v>641</v>
      </c>
    </row>
    <row r="140" spans="1:2" x14ac:dyDescent="0.2">
      <c r="A140" s="20" t="s">
        <v>39</v>
      </c>
      <c r="B140" s="10">
        <v>1008</v>
      </c>
    </row>
    <row r="141" spans="1:2" x14ac:dyDescent="0.2">
      <c r="A141" s="20" t="s">
        <v>642</v>
      </c>
      <c r="B141" s="10" t="s">
        <v>643</v>
      </c>
    </row>
    <row r="142" spans="1:2" x14ac:dyDescent="0.2">
      <c r="A142" s="20" t="s">
        <v>644</v>
      </c>
      <c r="B142" s="10" t="s">
        <v>645</v>
      </c>
    </row>
    <row r="143" spans="1:2" x14ac:dyDescent="0.2">
      <c r="A143" s="211" t="s">
        <v>646</v>
      </c>
      <c r="B143" s="828">
        <v>206133</v>
      </c>
    </row>
    <row r="144" spans="1:2" x14ac:dyDescent="0.2">
      <c r="A144" s="211" t="s">
        <v>648</v>
      </c>
      <c r="B144" s="828" t="s">
        <v>650</v>
      </c>
    </row>
    <row r="145" spans="1:2" x14ac:dyDescent="0.2">
      <c r="A145" s="211" t="s">
        <v>651</v>
      </c>
      <c r="B145" s="828">
        <v>206134</v>
      </c>
    </row>
    <row r="146" spans="1:2" x14ac:dyDescent="0.2">
      <c r="A146" s="211" t="s">
        <v>655</v>
      </c>
      <c r="B146" s="828" t="s">
        <v>656</v>
      </c>
    </row>
    <row r="147" spans="1:2" x14ac:dyDescent="0.2">
      <c r="A147" s="211" t="s">
        <v>657</v>
      </c>
      <c r="B147" s="828" t="s">
        <v>658</v>
      </c>
    </row>
    <row r="148" spans="1:2" x14ac:dyDescent="0.2">
      <c r="A148" s="211" t="s">
        <v>659</v>
      </c>
      <c r="B148" s="828">
        <v>206109</v>
      </c>
    </row>
    <row r="149" spans="1:2" x14ac:dyDescent="0.2">
      <c r="A149" s="211" t="s">
        <v>661</v>
      </c>
      <c r="B149" s="828">
        <v>206110</v>
      </c>
    </row>
    <row r="150" spans="1:2" x14ac:dyDescent="0.2">
      <c r="A150" s="211" t="s">
        <v>663</v>
      </c>
      <c r="B150" s="828">
        <v>206135</v>
      </c>
    </row>
    <row r="151" spans="1:2" x14ac:dyDescent="0.2">
      <c r="A151" s="211" t="s">
        <v>665</v>
      </c>
      <c r="B151" s="828">
        <v>509195</v>
      </c>
    </row>
    <row r="152" spans="1:2" x14ac:dyDescent="0.2">
      <c r="A152" s="211" t="s">
        <v>667</v>
      </c>
      <c r="B152" s="828" t="s">
        <v>668</v>
      </c>
    </row>
    <row r="153" spans="1:2" x14ac:dyDescent="0.2">
      <c r="A153" s="211" t="s">
        <v>671</v>
      </c>
      <c r="B153" s="828" t="s">
        <v>673</v>
      </c>
    </row>
    <row r="154" spans="1:2" x14ac:dyDescent="0.2">
      <c r="A154" s="211" t="s">
        <v>674</v>
      </c>
      <c r="B154" s="828">
        <v>509199</v>
      </c>
    </row>
    <row r="155" spans="1:2" x14ac:dyDescent="0.2">
      <c r="A155" s="211" t="s">
        <v>676</v>
      </c>
      <c r="B155" s="828">
        <v>509197</v>
      </c>
    </row>
    <row r="156" spans="1:2" x14ac:dyDescent="0.2">
      <c r="A156" s="211" t="s">
        <v>678</v>
      </c>
      <c r="B156" s="828" t="s">
        <v>680</v>
      </c>
    </row>
    <row r="157" spans="1:2" x14ac:dyDescent="0.2">
      <c r="A157" s="211" t="s">
        <v>40</v>
      </c>
      <c r="B157" s="828">
        <v>1005</v>
      </c>
    </row>
    <row r="158" spans="1:2" x14ac:dyDescent="0.2">
      <c r="A158" s="211" t="s">
        <v>683</v>
      </c>
      <c r="B158" s="828">
        <v>206117</v>
      </c>
    </row>
    <row r="159" spans="1:2" x14ac:dyDescent="0.2">
      <c r="A159" s="211" t="s">
        <v>685</v>
      </c>
      <c r="B159" s="828">
        <v>206141</v>
      </c>
    </row>
    <row r="160" spans="1:2" x14ac:dyDescent="0.2">
      <c r="A160" s="211" t="s">
        <v>687</v>
      </c>
      <c r="B160" s="828" t="s">
        <v>689</v>
      </c>
    </row>
    <row r="161" spans="1:2" x14ac:dyDescent="0.2">
      <c r="A161" s="211" t="s">
        <v>690</v>
      </c>
      <c r="B161" s="828">
        <v>258404</v>
      </c>
    </row>
    <row r="162" spans="1:2" x14ac:dyDescent="0.2">
      <c r="A162" s="211" t="s">
        <v>692</v>
      </c>
      <c r="B162" s="828">
        <v>258405</v>
      </c>
    </row>
    <row r="163" spans="1:2" x14ac:dyDescent="0.2">
      <c r="A163" s="211" t="s">
        <v>694</v>
      </c>
      <c r="B163" s="828">
        <v>258406</v>
      </c>
    </row>
    <row r="164" spans="1:2" x14ac:dyDescent="0.2">
      <c r="A164" s="211" t="s">
        <v>696</v>
      </c>
      <c r="B164" s="828">
        <v>206160</v>
      </c>
    </row>
    <row r="165" spans="1:2" x14ac:dyDescent="0.2">
      <c r="A165" s="211" t="s">
        <v>698</v>
      </c>
      <c r="B165" s="828" t="s">
        <v>700</v>
      </c>
    </row>
    <row r="166" spans="1:2" x14ac:dyDescent="0.2">
      <c r="A166" s="211" t="s">
        <v>701</v>
      </c>
      <c r="B166" s="828" t="s">
        <v>702</v>
      </c>
    </row>
    <row r="167" spans="1:2" x14ac:dyDescent="0.2">
      <c r="A167" s="211" t="s">
        <v>703</v>
      </c>
      <c r="B167" s="828" t="s">
        <v>705</v>
      </c>
    </row>
    <row r="168" spans="1:2" x14ac:dyDescent="0.2">
      <c r="A168" s="211" t="s">
        <v>706</v>
      </c>
      <c r="B168" s="828">
        <v>206146</v>
      </c>
    </row>
    <row r="169" spans="1:2" x14ac:dyDescent="0.2">
      <c r="A169" s="211" t="s">
        <v>708</v>
      </c>
      <c r="B169" s="828" t="s">
        <v>709</v>
      </c>
    </row>
    <row r="170" spans="1:2" x14ac:dyDescent="0.2">
      <c r="A170" s="211" t="s">
        <v>715</v>
      </c>
      <c r="B170" s="828" t="s">
        <v>716</v>
      </c>
    </row>
    <row r="171" spans="1:2" x14ac:dyDescent="0.2">
      <c r="A171" s="211" t="s">
        <v>717</v>
      </c>
      <c r="B171" s="828" t="s">
        <v>719</v>
      </c>
    </row>
    <row r="172" spans="1:2" x14ac:dyDescent="0.2">
      <c r="A172" s="211" t="s">
        <v>720</v>
      </c>
      <c r="B172" s="828" t="s">
        <v>721</v>
      </c>
    </row>
    <row r="173" spans="1:2" x14ac:dyDescent="0.2">
      <c r="A173" s="211" t="s">
        <v>722</v>
      </c>
      <c r="B173" s="828">
        <v>113044</v>
      </c>
    </row>
    <row r="174" spans="1:2" x14ac:dyDescent="0.2">
      <c r="A174" s="211" t="s">
        <v>724</v>
      </c>
      <c r="B174" s="828" t="s">
        <v>726</v>
      </c>
    </row>
    <row r="175" spans="1:2" x14ac:dyDescent="0.2">
      <c r="A175" s="211" t="s">
        <v>727</v>
      </c>
      <c r="B175" s="828" t="s">
        <v>729</v>
      </c>
    </row>
    <row r="176" spans="1:2" x14ac:dyDescent="0.2">
      <c r="A176" s="211" t="s">
        <v>730</v>
      </c>
      <c r="B176" s="828" t="s">
        <v>732</v>
      </c>
    </row>
    <row r="177" spans="1:2" x14ac:dyDescent="0.2">
      <c r="A177" s="211" t="s">
        <v>733</v>
      </c>
      <c r="B177" s="828" t="s">
        <v>735</v>
      </c>
    </row>
    <row r="178" spans="1:2" x14ac:dyDescent="0.2">
      <c r="A178" s="211" t="s">
        <v>736</v>
      </c>
      <c r="B178" s="828" t="s">
        <v>737</v>
      </c>
    </row>
    <row r="179" spans="1:2" x14ac:dyDescent="0.2">
      <c r="A179" s="211" t="s">
        <v>738</v>
      </c>
      <c r="B179" s="828">
        <v>206152</v>
      </c>
    </row>
    <row r="180" spans="1:2" x14ac:dyDescent="0.2">
      <c r="A180" s="211" t="s">
        <v>103</v>
      </c>
      <c r="B180" s="828">
        <v>3158</v>
      </c>
    </row>
    <row r="181" spans="1:2" x14ac:dyDescent="0.2">
      <c r="A181" s="211" t="s">
        <v>740</v>
      </c>
      <c r="B181" s="828">
        <v>206153</v>
      </c>
    </row>
    <row r="182" spans="1:2" x14ac:dyDescent="0.2">
      <c r="A182" s="211" t="s">
        <v>742</v>
      </c>
      <c r="B182" s="828">
        <v>206154</v>
      </c>
    </row>
    <row r="183" spans="1:2" x14ac:dyDescent="0.2">
      <c r="A183" s="211" t="s">
        <v>744</v>
      </c>
      <c r="B183" s="828" t="s">
        <v>745</v>
      </c>
    </row>
    <row r="184" spans="1:2" x14ac:dyDescent="0.2">
      <c r="A184" s="211" t="s">
        <v>41</v>
      </c>
      <c r="B184" s="828">
        <v>1010</v>
      </c>
    </row>
    <row r="185" spans="1:2" x14ac:dyDescent="0.2">
      <c r="A185" s="211" t="s">
        <v>746</v>
      </c>
      <c r="B185" s="828" t="s">
        <v>748</v>
      </c>
    </row>
    <row r="186" spans="1:2" x14ac:dyDescent="0.2">
      <c r="A186" s="211" t="s">
        <v>749</v>
      </c>
      <c r="B186" s="828" t="s">
        <v>751</v>
      </c>
    </row>
    <row r="187" spans="1:2" x14ac:dyDescent="0.2">
      <c r="A187" s="211" t="s">
        <v>752</v>
      </c>
      <c r="B187" s="828">
        <v>206103</v>
      </c>
    </row>
    <row r="188" spans="1:2" x14ac:dyDescent="0.2">
      <c r="A188" s="211" t="s">
        <v>753</v>
      </c>
      <c r="B188" s="828" t="s">
        <v>755</v>
      </c>
    </row>
    <row r="189" spans="1:2" x14ac:dyDescent="0.2">
      <c r="A189" s="211" t="s">
        <v>756</v>
      </c>
      <c r="B189" s="828" t="s">
        <v>758</v>
      </c>
    </row>
    <row r="190" spans="1:2" x14ac:dyDescent="0.2">
      <c r="A190" s="211" t="s">
        <v>759</v>
      </c>
      <c r="B190" s="828">
        <v>258420</v>
      </c>
    </row>
    <row r="191" spans="1:2" x14ac:dyDescent="0.2">
      <c r="A191" s="211" t="s">
        <v>761</v>
      </c>
      <c r="B191" s="828">
        <v>258424</v>
      </c>
    </row>
    <row r="192" spans="1:2" x14ac:dyDescent="0.2">
      <c r="A192" s="211" t="s">
        <v>42</v>
      </c>
      <c r="B192" s="828">
        <v>1009</v>
      </c>
    </row>
    <row r="193" spans="1:4" x14ac:dyDescent="0.2">
      <c r="A193" s="211" t="s">
        <v>770</v>
      </c>
      <c r="B193" s="828" t="s">
        <v>771</v>
      </c>
    </row>
    <row r="194" spans="1:4" x14ac:dyDescent="0.2">
      <c r="A194" s="211" t="s">
        <v>765</v>
      </c>
      <c r="B194" s="828" t="s">
        <v>767</v>
      </c>
    </row>
    <row r="195" spans="1:4" x14ac:dyDescent="0.2">
      <c r="A195" s="211" t="s">
        <v>43</v>
      </c>
      <c r="B195" s="828">
        <v>1015</v>
      </c>
    </row>
    <row r="196" spans="1:4" x14ac:dyDescent="0.2">
      <c r="A196" s="211" t="s">
        <v>768</v>
      </c>
      <c r="B196" s="828" t="s">
        <v>769</v>
      </c>
    </row>
    <row r="197" spans="1:4" x14ac:dyDescent="0.2">
      <c r="A197" s="211" t="s">
        <v>772</v>
      </c>
      <c r="B197" s="828">
        <v>509204</v>
      </c>
    </row>
    <row r="198" spans="1:4" x14ac:dyDescent="0.2">
      <c r="A198" s="491" t="s">
        <v>569</v>
      </c>
      <c r="B198" s="654" t="s">
        <v>570</v>
      </c>
      <c r="C198" s="623"/>
      <c r="D198" s="603"/>
    </row>
    <row r="199" spans="1:4" x14ac:dyDescent="0.2">
      <c r="A199" s="665" t="s">
        <v>571</v>
      </c>
      <c r="B199" s="662" t="s">
        <v>572</v>
      </c>
      <c r="C199" s="623"/>
      <c r="D199" s="603"/>
    </row>
    <row r="200" spans="1:4" ht="15" x14ac:dyDescent="0.25">
      <c r="A200" s="665" t="s">
        <v>573</v>
      </c>
      <c r="B200" s="661" t="s">
        <v>574</v>
      </c>
      <c r="C200" s="623"/>
      <c r="D200" s="603"/>
    </row>
    <row r="201" spans="1:4" x14ac:dyDescent="0.2">
      <c r="A201" s="659" t="s">
        <v>593</v>
      </c>
      <c r="B201" s="657" t="s">
        <v>594</v>
      </c>
      <c r="C201" s="623"/>
      <c r="D201" s="586"/>
    </row>
    <row r="202" spans="1:4" x14ac:dyDescent="0.2">
      <c r="A202" s="659" t="s">
        <v>595</v>
      </c>
      <c r="B202" s="657" t="s">
        <v>596</v>
      </c>
      <c r="C202" s="623"/>
      <c r="D202" s="603"/>
    </row>
    <row r="203" spans="1:4" x14ac:dyDescent="0.2">
      <c r="A203" s="331" t="s">
        <v>1026</v>
      </c>
      <c r="B203" s="331" t="s">
        <v>599</v>
      </c>
      <c r="C203" s="623"/>
      <c r="D203" s="586"/>
    </row>
    <row r="204" spans="1:4" x14ac:dyDescent="0.2">
      <c r="A204" s="331" t="s">
        <v>1027</v>
      </c>
      <c r="B204" s="331" t="s">
        <v>600</v>
      </c>
      <c r="C204" s="623"/>
      <c r="D204" s="586"/>
    </row>
    <row r="205" spans="1:4" x14ac:dyDescent="0.2">
      <c r="A205" s="331" t="s">
        <v>1014</v>
      </c>
      <c r="B205" s="331" t="s">
        <v>601</v>
      </c>
      <c r="C205" s="623"/>
      <c r="D205" s="586"/>
    </row>
    <row r="206" spans="1:4" x14ac:dyDescent="0.2">
      <c r="A206" s="331" t="s">
        <v>1015</v>
      </c>
      <c r="B206" s="331" t="s">
        <v>602</v>
      </c>
      <c r="C206" s="623"/>
      <c r="D206" s="586"/>
    </row>
    <row r="207" spans="1:4" x14ac:dyDescent="0.2">
      <c r="A207" s="331" t="s">
        <v>1016</v>
      </c>
      <c r="B207" s="331" t="s">
        <v>604</v>
      </c>
      <c r="C207" s="623"/>
      <c r="D207" s="586"/>
    </row>
    <row r="208" spans="1:4" x14ac:dyDescent="0.2">
      <c r="A208" s="331" t="s">
        <v>1017</v>
      </c>
      <c r="B208" s="331" t="s">
        <v>605</v>
      </c>
      <c r="C208" s="623"/>
      <c r="D208" s="586"/>
    </row>
    <row r="209" spans="1:4" x14ac:dyDescent="0.2">
      <c r="A209" s="612" t="s">
        <v>1018</v>
      </c>
      <c r="B209" s="658" t="s">
        <v>607</v>
      </c>
      <c r="C209" s="623"/>
      <c r="D209" s="586"/>
    </row>
    <row r="210" spans="1:4" x14ac:dyDescent="0.2">
      <c r="A210" s="664" t="s">
        <v>1019</v>
      </c>
      <c r="B210" s="662" t="s">
        <v>608</v>
      </c>
      <c r="C210" s="623"/>
      <c r="D210" s="586"/>
    </row>
    <row r="211" spans="1:4" x14ac:dyDescent="0.2">
      <c r="A211" s="607" t="s">
        <v>1020</v>
      </c>
      <c r="B211" s="807" t="s">
        <v>609</v>
      </c>
      <c r="C211" s="623"/>
      <c r="D211" s="586"/>
    </row>
    <row r="212" spans="1:4" x14ac:dyDescent="0.2">
      <c r="A212" s="808" t="s">
        <v>1021</v>
      </c>
      <c r="B212" s="662" t="s">
        <v>610</v>
      </c>
      <c r="C212" s="623"/>
      <c r="D212" s="586"/>
    </row>
    <row r="213" spans="1:4" x14ac:dyDescent="0.2">
      <c r="A213" s="612" t="s">
        <v>1022</v>
      </c>
      <c r="B213" s="608" t="s">
        <v>611</v>
      </c>
      <c r="C213" s="623"/>
      <c r="D213" s="586"/>
    </row>
    <row r="214" spans="1:4" x14ac:dyDescent="0.2">
      <c r="A214" s="607" t="s">
        <v>905</v>
      </c>
      <c r="B214" s="608" t="s">
        <v>612</v>
      </c>
      <c r="C214" s="623"/>
      <c r="D214" s="586"/>
    </row>
    <row r="215" spans="1:4" x14ac:dyDescent="0.2">
      <c r="A215" s="808" t="s">
        <v>1023</v>
      </c>
      <c r="B215" s="802" t="s">
        <v>614</v>
      </c>
      <c r="C215" s="623"/>
      <c r="D215" s="586"/>
    </row>
    <row r="216" spans="1:4" x14ac:dyDescent="0.2">
      <c r="A216" s="612" t="s">
        <v>1024</v>
      </c>
      <c r="B216" s="608">
        <v>206043</v>
      </c>
      <c r="C216" s="623"/>
      <c r="D216" s="586"/>
    </row>
    <row r="217" spans="1:4" x14ac:dyDescent="0.2">
      <c r="A217" s="611" t="s">
        <v>1025</v>
      </c>
      <c r="B217" s="809" t="s">
        <v>616</v>
      </c>
      <c r="C217" s="623"/>
      <c r="D217" s="586"/>
    </row>
    <row r="218" spans="1:4" x14ac:dyDescent="0.2">
      <c r="A218" s="804" t="s">
        <v>669</v>
      </c>
      <c r="B218" s="722" t="s">
        <v>670</v>
      </c>
      <c r="C218" s="623"/>
      <c r="D218" s="603"/>
    </row>
    <row r="219" spans="1:4" x14ac:dyDescent="0.2">
      <c r="A219" s="659" t="s">
        <v>681</v>
      </c>
      <c r="B219" s="657" t="s">
        <v>682</v>
      </c>
      <c r="C219" s="623"/>
      <c r="D219" s="586"/>
    </row>
    <row r="220" spans="1:4" x14ac:dyDescent="0.2">
      <c r="A220" s="491" t="s">
        <v>653</v>
      </c>
      <c r="B220" s="706" t="s">
        <v>654</v>
      </c>
    </row>
    <row r="221" spans="1:4" x14ac:dyDescent="0.2">
      <c r="A221" s="215" t="s">
        <v>63</v>
      </c>
      <c r="B221" s="823">
        <v>2448</v>
      </c>
    </row>
    <row r="222" spans="1:4" x14ac:dyDescent="0.2">
      <c r="A222" s="583" t="s">
        <v>1033</v>
      </c>
      <c r="B222" s="837">
        <v>4000</v>
      </c>
    </row>
    <row r="223" spans="1:4" x14ac:dyDescent="0.2">
      <c r="A223" s="211"/>
      <c r="B223" s="828"/>
    </row>
    <row r="224" spans="1:4" x14ac:dyDescent="0.2">
      <c r="A224" s="211"/>
      <c r="B224" s="828"/>
    </row>
    <row r="225" spans="1:2" x14ac:dyDescent="0.2">
      <c r="A225" s="211"/>
      <c r="B225" s="828"/>
    </row>
    <row r="226" spans="1:2" x14ac:dyDescent="0.2">
      <c r="A226" s="211"/>
      <c r="B226" s="828"/>
    </row>
  </sheetData>
  <sheetProtection password="EF5C" sheet="1" objects="1" scenarios="1" selectLockedCells="1" selectUnlockedCells="1"/>
  <mergeCells count="7">
    <mergeCell ref="N2:O2"/>
    <mergeCell ref="N3:O3"/>
    <mergeCell ref="N4:O4"/>
    <mergeCell ref="C1:C2"/>
    <mergeCell ref="W2:X2"/>
    <mergeCell ref="W3:X3"/>
    <mergeCell ref="W4:X4"/>
  </mergeCells>
  <pageMargins left="0.25" right="0.25" top="0.75" bottom="0.75" header="0.3" footer="0.3"/>
  <pageSetup paperSize="9" scale="55" fitToHeight="0" orientation="landscape" r:id="rId1"/>
  <colBreaks count="1" manualBreakCount="1">
    <brk id="15" max="100" man="1"/>
  </colBreaks>
  <ignoredErrors>
    <ignoredError sqref="F7:F20 F80:F92 F21:F76" formulaRange="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8"/>
  <sheetViews>
    <sheetView workbookViewId="0">
      <pane xSplit="2" ySplit="4" topLeftCell="C27" activePane="bottomRight" state="frozen"/>
      <selection activeCell="A21" sqref="A21"/>
      <selection pane="topRight" activeCell="A21" sqref="A21"/>
      <selection pane="bottomLeft" activeCell="A21" sqref="A21"/>
      <selection pane="bottomRight" sqref="A1:XFD1048576"/>
    </sheetView>
  </sheetViews>
  <sheetFormatPr defaultRowHeight="15" x14ac:dyDescent="0.25"/>
  <cols>
    <col min="1" max="1" width="11.5703125" style="285" customWidth="1"/>
    <col min="2" max="2" width="47.28515625" style="285" customWidth="1"/>
    <col min="3" max="6" width="9.140625" style="286"/>
    <col min="7" max="7" width="2.42578125" style="287" customWidth="1"/>
    <col min="8" max="12" width="9.140625" style="285"/>
    <col min="13" max="13" width="2.42578125" style="287" customWidth="1"/>
    <col min="14" max="18" width="9.140625" style="285"/>
    <col min="19" max="19" width="2.42578125" style="287" customWidth="1"/>
    <col min="20" max="24" width="9.140625" style="285"/>
    <col min="25" max="25" width="4.85546875" style="287" customWidth="1"/>
    <col min="26" max="26" width="13.42578125" style="286" bestFit="1" customWidth="1"/>
    <col min="27" max="27" width="14.85546875" style="286" bestFit="1" customWidth="1"/>
    <col min="28" max="30" width="14.85546875" style="286" customWidth="1"/>
    <col min="31" max="31" width="10.85546875" style="286" bestFit="1" customWidth="1"/>
    <col min="32" max="256" width="9.140625" style="285"/>
    <col min="257" max="257" width="47.28515625" style="285" customWidth="1"/>
    <col min="258" max="261" width="9.140625" style="285"/>
    <col min="262" max="262" width="2.42578125" style="285" customWidth="1"/>
    <col min="263" max="267" width="9.140625" style="285"/>
    <col min="268" max="268" width="2.42578125" style="285" customWidth="1"/>
    <col min="269" max="273" width="9.140625" style="285"/>
    <col min="274" max="274" width="2.42578125" style="285" customWidth="1"/>
    <col min="275" max="279" width="9.140625" style="285"/>
    <col min="280" max="280" width="4.85546875" style="285" customWidth="1"/>
    <col min="281" max="281" width="13.42578125" style="285" bestFit="1" customWidth="1"/>
    <col min="282" max="282" width="14.85546875" style="285" bestFit="1" customWidth="1"/>
    <col min="283" max="285" width="14.85546875" style="285" customWidth="1"/>
    <col min="286" max="286" width="10.85546875" style="285" bestFit="1" customWidth="1"/>
    <col min="287" max="287" width="9.140625" style="285"/>
    <col min="288" max="288" width="108.28515625" style="285" customWidth="1"/>
    <col min="289" max="512" width="9.140625" style="285"/>
    <col min="513" max="513" width="47.28515625" style="285" customWidth="1"/>
    <col min="514" max="517" width="9.140625" style="285"/>
    <col min="518" max="518" width="2.42578125" style="285" customWidth="1"/>
    <col min="519" max="523" width="9.140625" style="285"/>
    <col min="524" max="524" width="2.42578125" style="285" customWidth="1"/>
    <col min="525" max="529" width="9.140625" style="285"/>
    <col min="530" max="530" width="2.42578125" style="285" customWidth="1"/>
    <col min="531" max="535" width="9.140625" style="285"/>
    <col min="536" max="536" width="4.85546875" style="285" customWidth="1"/>
    <col min="537" max="537" width="13.42578125" style="285" bestFit="1" customWidth="1"/>
    <col min="538" max="538" width="14.85546875" style="285" bestFit="1" customWidth="1"/>
    <col min="539" max="541" width="14.85546875" style="285" customWidth="1"/>
    <col min="542" max="542" width="10.85546875" style="285" bestFit="1" customWidth="1"/>
    <col min="543" max="543" width="9.140625" style="285"/>
    <col min="544" max="544" width="108.28515625" style="285" customWidth="1"/>
    <col min="545" max="768" width="9.140625" style="285"/>
    <col min="769" max="769" width="47.28515625" style="285" customWidth="1"/>
    <col min="770" max="773" width="9.140625" style="285"/>
    <col min="774" max="774" width="2.42578125" style="285" customWidth="1"/>
    <col min="775" max="779" width="9.140625" style="285"/>
    <col min="780" max="780" width="2.42578125" style="285" customWidth="1"/>
    <col min="781" max="785" width="9.140625" style="285"/>
    <col min="786" max="786" width="2.42578125" style="285" customWidth="1"/>
    <col min="787" max="791" width="9.140625" style="285"/>
    <col min="792" max="792" width="4.85546875" style="285" customWidth="1"/>
    <col min="793" max="793" width="13.42578125" style="285" bestFit="1" customWidth="1"/>
    <col min="794" max="794" width="14.85546875" style="285" bestFit="1" customWidth="1"/>
    <col min="795" max="797" width="14.85546875" style="285" customWidth="1"/>
    <col min="798" max="798" width="10.85546875" style="285" bestFit="1" customWidth="1"/>
    <col min="799" max="799" width="9.140625" style="285"/>
    <col min="800" max="800" width="108.28515625" style="285" customWidth="1"/>
    <col min="801" max="1024" width="9.140625" style="285"/>
    <col min="1025" max="1025" width="47.28515625" style="285" customWidth="1"/>
    <col min="1026" max="1029" width="9.140625" style="285"/>
    <col min="1030" max="1030" width="2.42578125" style="285" customWidth="1"/>
    <col min="1031" max="1035" width="9.140625" style="285"/>
    <col min="1036" max="1036" width="2.42578125" style="285" customWidth="1"/>
    <col min="1037" max="1041" width="9.140625" style="285"/>
    <col min="1042" max="1042" width="2.42578125" style="285" customWidth="1"/>
    <col min="1043" max="1047" width="9.140625" style="285"/>
    <col min="1048" max="1048" width="4.85546875" style="285" customWidth="1"/>
    <col min="1049" max="1049" width="13.42578125" style="285" bestFit="1" customWidth="1"/>
    <col min="1050" max="1050" width="14.85546875" style="285" bestFit="1" customWidth="1"/>
    <col min="1051" max="1053" width="14.85546875" style="285" customWidth="1"/>
    <col min="1054" max="1054" width="10.85546875" style="285" bestFit="1" customWidth="1"/>
    <col min="1055" max="1055" width="9.140625" style="285"/>
    <col min="1056" max="1056" width="108.28515625" style="285" customWidth="1"/>
    <col min="1057" max="1280" width="9.140625" style="285"/>
    <col min="1281" max="1281" width="47.28515625" style="285" customWidth="1"/>
    <col min="1282" max="1285" width="9.140625" style="285"/>
    <col min="1286" max="1286" width="2.42578125" style="285" customWidth="1"/>
    <col min="1287" max="1291" width="9.140625" style="285"/>
    <col min="1292" max="1292" width="2.42578125" style="285" customWidth="1"/>
    <col min="1293" max="1297" width="9.140625" style="285"/>
    <col min="1298" max="1298" width="2.42578125" style="285" customWidth="1"/>
    <col min="1299" max="1303" width="9.140625" style="285"/>
    <col min="1304" max="1304" width="4.85546875" style="285" customWidth="1"/>
    <col min="1305" max="1305" width="13.42578125" style="285" bestFit="1" customWidth="1"/>
    <col min="1306" max="1306" width="14.85546875" style="285" bestFit="1" customWidth="1"/>
    <col min="1307" max="1309" width="14.85546875" style="285" customWidth="1"/>
    <col min="1310" max="1310" width="10.85546875" style="285" bestFit="1" customWidth="1"/>
    <col min="1311" max="1311" width="9.140625" style="285"/>
    <col min="1312" max="1312" width="108.28515625" style="285" customWidth="1"/>
    <col min="1313" max="1536" width="9.140625" style="285"/>
    <col min="1537" max="1537" width="47.28515625" style="285" customWidth="1"/>
    <col min="1538" max="1541" width="9.140625" style="285"/>
    <col min="1542" max="1542" width="2.42578125" style="285" customWidth="1"/>
    <col min="1543" max="1547" width="9.140625" style="285"/>
    <col min="1548" max="1548" width="2.42578125" style="285" customWidth="1"/>
    <col min="1549" max="1553" width="9.140625" style="285"/>
    <col min="1554" max="1554" width="2.42578125" style="285" customWidth="1"/>
    <col min="1555" max="1559" width="9.140625" style="285"/>
    <col min="1560" max="1560" width="4.85546875" style="285" customWidth="1"/>
    <col min="1561" max="1561" width="13.42578125" style="285" bestFit="1" customWidth="1"/>
    <col min="1562" max="1562" width="14.85546875" style="285" bestFit="1" customWidth="1"/>
    <col min="1563" max="1565" width="14.85546875" style="285" customWidth="1"/>
    <col min="1566" max="1566" width="10.85546875" style="285" bestFit="1" customWidth="1"/>
    <col min="1567" max="1567" width="9.140625" style="285"/>
    <col min="1568" max="1568" width="108.28515625" style="285" customWidth="1"/>
    <col min="1569" max="1792" width="9.140625" style="285"/>
    <col min="1793" max="1793" width="47.28515625" style="285" customWidth="1"/>
    <col min="1794" max="1797" width="9.140625" style="285"/>
    <col min="1798" max="1798" width="2.42578125" style="285" customWidth="1"/>
    <col min="1799" max="1803" width="9.140625" style="285"/>
    <col min="1804" max="1804" width="2.42578125" style="285" customWidth="1"/>
    <col min="1805" max="1809" width="9.140625" style="285"/>
    <col min="1810" max="1810" width="2.42578125" style="285" customWidth="1"/>
    <col min="1811" max="1815" width="9.140625" style="285"/>
    <col min="1816" max="1816" width="4.85546875" style="285" customWidth="1"/>
    <col min="1817" max="1817" width="13.42578125" style="285" bestFit="1" customWidth="1"/>
    <col min="1818" max="1818" width="14.85546875" style="285" bestFit="1" customWidth="1"/>
    <col min="1819" max="1821" width="14.85546875" style="285" customWidth="1"/>
    <col min="1822" max="1822" width="10.85546875" style="285" bestFit="1" customWidth="1"/>
    <col min="1823" max="1823" width="9.140625" style="285"/>
    <col min="1824" max="1824" width="108.28515625" style="285" customWidth="1"/>
    <col min="1825" max="2048" width="9.140625" style="285"/>
    <col min="2049" max="2049" width="47.28515625" style="285" customWidth="1"/>
    <col min="2050" max="2053" width="9.140625" style="285"/>
    <col min="2054" max="2054" width="2.42578125" style="285" customWidth="1"/>
    <col min="2055" max="2059" width="9.140625" style="285"/>
    <col min="2060" max="2060" width="2.42578125" style="285" customWidth="1"/>
    <col min="2061" max="2065" width="9.140625" style="285"/>
    <col min="2066" max="2066" width="2.42578125" style="285" customWidth="1"/>
    <col min="2067" max="2071" width="9.140625" style="285"/>
    <col min="2072" max="2072" width="4.85546875" style="285" customWidth="1"/>
    <col min="2073" max="2073" width="13.42578125" style="285" bestFit="1" customWidth="1"/>
    <col min="2074" max="2074" width="14.85546875" style="285" bestFit="1" customWidth="1"/>
    <col min="2075" max="2077" width="14.85546875" style="285" customWidth="1"/>
    <col min="2078" max="2078" width="10.85546875" style="285" bestFit="1" customWidth="1"/>
    <col min="2079" max="2079" width="9.140625" style="285"/>
    <col min="2080" max="2080" width="108.28515625" style="285" customWidth="1"/>
    <col min="2081" max="2304" width="9.140625" style="285"/>
    <col min="2305" max="2305" width="47.28515625" style="285" customWidth="1"/>
    <col min="2306" max="2309" width="9.140625" style="285"/>
    <col min="2310" max="2310" width="2.42578125" style="285" customWidth="1"/>
    <col min="2311" max="2315" width="9.140625" style="285"/>
    <col min="2316" max="2316" width="2.42578125" style="285" customWidth="1"/>
    <col min="2317" max="2321" width="9.140625" style="285"/>
    <col min="2322" max="2322" width="2.42578125" style="285" customWidth="1"/>
    <col min="2323" max="2327" width="9.140625" style="285"/>
    <col min="2328" max="2328" width="4.85546875" style="285" customWidth="1"/>
    <col min="2329" max="2329" width="13.42578125" style="285" bestFit="1" customWidth="1"/>
    <col min="2330" max="2330" width="14.85546875" style="285" bestFit="1" customWidth="1"/>
    <col min="2331" max="2333" width="14.85546875" style="285" customWidth="1"/>
    <col min="2334" max="2334" width="10.85546875" style="285" bestFit="1" customWidth="1"/>
    <col min="2335" max="2335" width="9.140625" style="285"/>
    <col min="2336" max="2336" width="108.28515625" style="285" customWidth="1"/>
    <col min="2337" max="2560" width="9.140625" style="285"/>
    <col min="2561" max="2561" width="47.28515625" style="285" customWidth="1"/>
    <col min="2562" max="2565" width="9.140625" style="285"/>
    <col min="2566" max="2566" width="2.42578125" style="285" customWidth="1"/>
    <col min="2567" max="2571" width="9.140625" style="285"/>
    <col min="2572" max="2572" width="2.42578125" style="285" customWidth="1"/>
    <col min="2573" max="2577" width="9.140625" style="285"/>
    <col min="2578" max="2578" width="2.42578125" style="285" customWidth="1"/>
    <col min="2579" max="2583" width="9.140625" style="285"/>
    <col min="2584" max="2584" width="4.85546875" style="285" customWidth="1"/>
    <col min="2585" max="2585" width="13.42578125" style="285" bestFit="1" customWidth="1"/>
    <col min="2586" max="2586" width="14.85546875" style="285" bestFit="1" customWidth="1"/>
    <col min="2587" max="2589" width="14.85546875" style="285" customWidth="1"/>
    <col min="2590" max="2590" width="10.85546875" style="285" bestFit="1" customWidth="1"/>
    <col min="2591" max="2591" width="9.140625" style="285"/>
    <col min="2592" max="2592" width="108.28515625" style="285" customWidth="1"/>
    <col min="2593" max="2816" width="9.140625" style="285"/>
    <col min="2817" max="2817" width="47.28515625" style="285" customWidth="1"/>
    <col min="2818" max="2821" width="9.140625" style="285"/>
    <col min="2822" max="2822" width="2.42578125" style="285" customWidth="1"/>
    <col min="2823" max="2827" width="9.140625" style="285"/>
    <col min="2828" max="2828" width="2.42578125" style="285" customWidth="1"/>
    <col min="2829" max="2833" width="9.140625" style="285"/>
    <col min="2834" max="2834" width="2.42578125" style="285" customWidth="1"/>
    <col min="2835" max="2839" width="9.140625" style="285"/>
    <col min="2840" max="2840" width="4.85546875" style="285" customWidth="1"/>
    <col min="2841" max="2841" width="13.42578125" style="285" bestFit="1" customWidth="1"/>
    <col min="2842" max="2842" width="14.85546875" style="285" bestFit="1" customWidth="1"/>
    <col min="2843" max="2845" width="14.85546875" style="285" customWidth="1"/>
    <col min="2846" max="2846" width="10.85546875" style="285" bestFit="1" customWidth="1"/>
    <col min="2847" max="2847" width="9.140625" style="285"/>
    <col min="2848" max="2848" width="108.28515625" style="285" customWidth="1"/>
    <col min="2849" max="3072" width="9.140625" style="285"/>
    <col min="3073" max="3073" width="47.28515625" style="285" customWidth="1"/>
    <col min="3074" max="3077" width="9.140625" style="285"/>
    <col min="3078" max="3078" width="2.42578125" style="285" customWidth="1"/>
    <col min="3079" max="3083" width="9.140625" style="285"/>
    <col min="3084" max="3084" width="2.42578125" style="285" customWidth="1"/>
    <col min="3085" max="3089" width="9.140625" style="285"/>
    <col min="3090" max="3090" width="2.42578125" style="285" customWidth="1"/>
    <col min="3091" max="3095" width="9.140625" style="285"/>
    <col min="3096" max="3096" width="4.85546875" style="285" customWidth="1"/>
    <col min="3097" max="3097" width="13.42578125" style="285" bestFit="1" customWidth="1"/>
    <col min="3098" max="3098" width="14.85546875" style="285" bestFit="1" customWidth="1"/>
    <col min="3099" max="3101" width="14.85546875" style="285" customWidth="1"/>
    <col min="3102" max="3102" width="10.85546875" style="285" bestFit="1" customWidth="1"/>
    <col min="3103" max="3103" width="9.140625" style="285"/>
    <col min="3104" max="3104" width="108.28515625" style="285" customWidth="1"/>
    <col min="3105" max="3328" width="9.140625" style="285"/>
    <col min="3329" max="3329" width="47.28515625" style="285" customWidth="1"/>
    <col min="3330" max="3333" width="9.140625" style="285"/>
    <col min="3334" max="3334" width="2.42578125" style="285" customWidth="1"/>
    <col min="3335" max="3339" width="9.140625" style="285"/>
    <col min="3340" max="3340" width="2.42578125" style="285" customWidth="1"/>
    <col min="3341" max="3345" width="9.140625" style="285"/>
    <col min="3346" max="3346" width="2.42578125" style="285" customWidth="1"/>
    <col min="3347" max="3351" width="9.140625" style="285"/>
    <col min="3352" max="3352" width="4.85546875" style="285" customWidth="1"/>
    <col min="3353" max="3353" width="13.42578125" style="285" bestFit="1" customWidth="1"/>
    <col min="3354" max="3354" width="14.85546875" style="285" bestFit="1" customWidth="1"/>
    <col min="3355" max="3357" width="14.85546875" style="285" customWidth="1"/>
    <col min="3358" max="3358" width="10.85546875" style="285" bestFit="1" customWidth="1"/>
    <col min="3359" max="3359" width="9.140625" style="285"/>
    <col min="3360" max="3360" width="108.28515625" style="285" customWidth="1"/>
    <col min="3361" max="3584" width="9.140625" style="285"/>
    <col min="3585" max="3585" width="47.28515625" style="285" customWidth="1"/>
    <col min="3586" max="3589" width="9.140625" style="285"/>
    <col min="3590" max="3590" width="2.42578125" style="285" customWidth="1"/>
    <col min="3591" max="3595" width="9.140625" style="285"/>
    <col min="3596" max="3596" width="2.42578125" style="285" customWidth="1"/>
    <col min="3597" max="3601" width="9.140625" style="285"/>
    <col min="3602" max="3602" width="2.42578125" style="285" customWidth="1"/>
    <col min="3603" max="3607" width="9.140625" style="285"/>
    <col min="3608" max="3608" width="4.85546875" style="285" customWidth="1"/>
    <col min="3609" max="3609" width="13.42578125" style="285" bestFit="1" customWidth="1"/>
    <col min="3610" max="3610" width="14.85546875" style="285" bestFit="1" customWidth="1"/>
    <col min="3611" max="3613" width="14.85546875" style="285" customWidth="1"/>
    <col min="3614" max="3614" width="10.85546875" style="285" bestFit="1" customWidth="1"/>
    <col min="3615" max="3615" width="9.140625" style="285"/>
    <col min="3616" max="3616" width="108.28515625" style="285" customWidth="1"/>
    <col min="3617" max="3840" width="9.140625" style="285"/>
    <col min="3841" max="3841" width="47.28515625" style="285" customWidth="1"/>
    <col min="3842" max="3845" width="9.140625" style="285"/>
    <col min="3846" max="3846" width="2.42578125" style="285" customWidth="1"/>
    <col min="3847" max="3851" width="9.140625" style="285"/>
    <col min="3852" max="3852" width="2.42578125" style="285" customWidth="1"/>
    <col min="3853" max="3857" width="9.140625" style="285"/>
    <col min="3858" max="3858" width="2.42578125" style="285" customWidth="1"/>
    <col min="3859" max="3863" width="9.140625" style="285"/>
    <col min="3864" max="3864" width="4.85546875" style="285" customWidth="1"/>
    <col min="3865" max="3865" width="13.42578125" style="285" bestFit="1" customWidth="1"/>
    <col min="3866" max="3866" width="14.85546875" style="285" bestFit="1" customWidth="1"/>
    <col min="3867" max="3869" width="14.85546875" style="285" customWidth="1"/>
    <col min="3870" max="3870" width="10.85546875" style="285" bestFit="1" customWidth="1"/>
    <col min="3871" max="3871" width="9.140625" style="285"/>
    <col min="3872" max="3872" width="108.28515625" style="285" customWidth="1"/>
    <col min="3873" max="4096" width="9.140625" style="285"/>
    <col min="4097" max="4097" width="47.28515625" style="285" customWidth="1"/>
    <col min="4098" max="4101" width="9.140625" style="285"/>
    <col min="4102" max="4102" width="2.42578125" style="285" customWidth="1"/>
    <col min="4103" max="4107" width="9.140625" style="285"/>
    <col min="4108" max="4108" width="2.42578125" style="285" customWidth="1"/>
    <col min="4109" max="4113" width="9.140625" style="285"/>
    <col min="4114" max="4114" width="2.42578125" style="285" customWidth="1"/>
    <col min="4115" max="4119" width="9.140625" style="285"/>
    <col min="4120" max="4120" width="4.85546875" style="285" customWidth="1"/>
    <col min="4121" max="4121" width="13.42578125" style="285" bestFit="1" customWidth="1"/>
    <col min="4122" max="4122" width="14.85546875" style="285" bestFit="1" customWidth="1"/>
    <col min="4123" max="4125" width="14.85546875" style="285" customWidth="1"/>
    <col min="4126" max="4126" width="10.85546875" style="285" bestFit="1" customWidth="1"/>
    <col min="4127" max="4127" width="9.140625" style="285"/>
    <col min="4128" max="4128" width="108.28515625" style="285" customWidth="1"/>
    <col min="4129" max="4352" width="9.140625" style="285"/>
    <col min="4353" max="4353" width="47.28515625" style="285" customWidth="1"/>
    <col min="4354" max="4357" width="9.140625" style="285"/>
    <col min="4358" max="4358" width="2.42578125" style="285" customWidth="1"/>
    <col min="4359" max="4363" width="9.140625" style="285"/>
    <col min="4364" max="4364" width="2.42578125" style="285" customWidth="1"/>
    <col min="4365" max="4369" width="9.140625" style="285"/>
    <col min="4370" max="4370" width="2.42578125" style="285" customWidth="1"/>
    <col min="4371" max="4375" width="9.140625" style="285"/>
    <col min="4376" max="4376" width="4.85546875" style="285" customWidth="1"/>
    <col min="4377" max="4377" width="13.42578125" style="285" bestFit="1" customWidth="1"/>
    <col min="4378" max="4378" width="14.85546875" style="285" bestFit="1" customWidth="1"/>
    <col min="4379" max="4381" width="14.85546875" style="285" customWidth="1"/>
    <col min="4382" max="4382" width="10.85546875" style="285" bestFit="1" customWidth="1"/>
    <col min="4383" max="4383" width="9.140625" style="285"/>
    <col min="4384" max="4384" width="108.28515625" style="285" customWidth="1"/>
    <col min="4385" max="4608" width="9.140625" style="285"/>
    <col min="4609" max="4609" width="47.28515625" style="285" customWidth="1"/>
    <col min="4610" max="4613" width="9.140625" style="285"/>
    <col min="4614" max="4614" width="2.42578125" style="285" customWidth="1"/>
    <col min="4615" max="4619" width="9.140625" style="285"/>
    <col min="4620" max="4620" width="2.42578125" style="285" customWidth="1"/>
    <col min="4621" max="4625" width="9.140625" style="285"/>
    <col min="4626" max="4626" width="2.42578125" style="285" customWidth="1"/>
    <col min="4627" max="4631" width="9.140625" style="285"/>
    <col min="4632" max="4632" width="4.85546875" style="285" customWidth="1"/>
    <col min="4633" max="4633" width="13.42578125" style="285" bestFit="1" customWidth="1"/>
    <col min="4634" max="4634" width="14.85546875" style="285" bestFit="1" customWidth="1"/>
    <col min="4635" max="4637" width="14.85546875" style="285" customWidth="1"/>
    <col min="4638" max="4638" width="10.85546875" style="285" bestFit="1" customWidth="1"/>
    <col min="4639" max="4639" width="9.140625" style="285"/>
    <col min="4640" max="4640" width="108.28515625" style="285" customWidth="1"/>
    <col min="4641" max="4864" width="9.140625" style="285"/>
    <col min="4865" max="4865" width="47.28515625" style="285" customWidth="1"/>
    <col min="4866" max="4869" width="9.140625" style="285"/>
    <col min="4870" max="4870" width="2.42578125" style="285" customWidth="1"/>
    <col min="4871" max="4875" width="9.140625" style="285"/>
    <col min="4876" max="4876" width="2.42578125" style="285" customWidth="1"/>
    <col min="4877" max="4881" width="9.140625" style="285"/>
    <col min="4882" max="4882" width="2.42578125" style="285" customWidth="1"/>
    <col min="4883" max="4887" width="9.140625" style="285"/>
    <col min="4888" max="4888" width="4.85546875" style="285" customWidth="1"/>
    <col min="4889" max="4889" width="13.42578125" style="285" bestFit="1" customWidth="1"/>
    <col min="4890" max="4890" width="14.85546875" style="285" bestFit="1" customWidth="1"/>
    <col min="4891" max="4893" width="14.85546875" style="285" customWidth="1"/>
    <col min="4894" max="4894" width="10.85546875" style="285" bestFit="1" customWidth="1"/>
    <col min="4895" max="4895" width="9.140625" style="285"/>
    <col min="4896" max="4896" width="108.28515625" style="285" customWidth="1"/>
    <col min="4897" max="5120" width="9.140625" style="285"/>
    <col min="5121" max="5121" width="47.28515625" style="285" customWidth="1"/>
    <col min="5122" max="5125" width="9.140625" style="285"/>
    <col min="5126" max="5126" width="2.42578125" style="285" customWidth="1"/>
    <col min="5127" max="5131" width="9.140625" style="285"/>
    <col min="5132" max="5132" width="2.42578125" style="285" customWidth="1"/>
    <col min="5133" max="5137" width="9.140625" style="285"/>
    <col min="5138" max="5138" width="2.42578125" style="285" customWidth="1"/>
    <col min="5139" max="5143" width="9.140625" style="285"/>
    <col min="5144" max="5144" width="4.85546875" style="285" customWidth="1"/>
    <col min="5145" max="5145" width="13.42578125" style="285" bestFit="1" customWidth="1"/>
    <col min="5146" max="5146" width="14.85546875" style="285" bestFit="1" customWidth="1"/>
    <col min="5147" max="5149" width="14.85546875" style="285" customWidth="1"/>
    <col min="5150" max="5150" width="10.85546875" style="285" bestFit="1" customWidth="1"/>
    <col min="5151" max="5151" width="9.140625" style="285"/>
    <col min="5152" max="5152" width="108.28515625" style="285" customWidth="1"/>
    <col min="5153" max="5376" width="9.140625" style="285"/>
    <col min="5377" max="5377" width="47.28515625" style="285" customWidth="1"/>
    <col min="5378" max="5381" width="9.140625" style="285"/>
    <col min="5382" max="5382" width="2.42578125" style="285" customWidth="1"/>
    <col min="5383" max="5387" width="9.140625" style="285"/>
    <col min="5388" max="5388" width="2.42578125" style="285" customWidth="1"/>
    <col min="5389" max="5393" width="9.140625" style="285"/>
    <col min="5394" max="5394" width="2.42578125" style="285" customWidth="1"/>
    <col min="5395" max="5399" width="9.140625" style="285"/>
    <col min="5400" max="5400" width="4.85546875" style="285" customWidth="1"/>
    <col min="5401" max="5401" width="13.42578125" style="285" bestFit="1" customWidth="1"/>
    <col min="5402" max="5402" width="14.85546875" style="285" bestFit="1" customWidth="1"/>
    <col min="5403" max="5405" width="14.85546875" style="285" customWidth="1"/>
    <col min="5406" max="5406" width="10.85546875" style="285" bestFit="1" customWidth="1"/>
    <col min="5407" max="5407" width="9.140625" style="285"/>
    <col min="5408" max="5408" width="108.28515625" style="285" customWidth="1"/>
    <col min="5409" max="5632" width="9.140625" style="285"/>
    <col min="5633" max="5633" width="47.28515625" style="285" customWidth="1"/>
    <col min="5634" max="5637" width="9.140625" style="285"/>
    <col min="5638" max="5638" width="2.42578125" style="285" customWidth="1"/>
    <col min="5639" max="5643" width="9.140625" style="285"/>
    <col min="5644" max="5644" width="2.42578125" style="285" customWidth="1"/>
    <col min="5645" max="5649" width="9.140625" style="285"/>
    <col min="5650" max="5650" width="2.42578125" style="285" customWidth="1"/>
    <col min="5651" max="5655" width="9.140625" style="285"/>
    <col min="5656" max="5656" width="4.85546875" style="285" customWidth="1"/>
    <col min="5657" max="5657" width="13.42578125" style="285" bestFit="1" customWidth="1"/>
    <col min="5658" max="5658" width="14.85546875" style="285" bestFit="1" customWidth="1"/>
    <col min="5659" max="5661" width="14.85546875" style="285" customWidth="1"/>
    <col min="5662" max="5662" width="10.85546875" style="285" bestFit="1" customWidth="1"/>
    <col min="5663" max="5663" width="9.140625" style="285"/>
    <col min="5664" max="5664" width="108.28515625" style="285" customWidth="1"/>
    <col min="5665" max="5888" width="9.140625" style="285"/>
    <col min="5889" max="5889" width="47.28515625" style="285" customWidth="1"/>
    <col min="5890" max="5893" width="9.140625" style="285"/>
    <col min="5894" max="5894" width="2.42578125" style="285" customWidth="1"/>
    <col min="5895" max="5899" width="9.140625" style="285"/>
    <col min="5900" max="5900" width="2.42578125" style="285" customWidth="1"/>
    <col min="5901" max="5905" width="9.140625" style="285"/>
    <col min="5906" max="5906" width="2.42578125" style="285" customWidth="1"/>
    <col min="5907" max="5911" width="9.140625" style="285"/>
    <col min="5912" max="5912" width="4.85546875" style="285" customWidth="1"/>
    <col min="5913" max="5913" width="13.42578125" style="285" bestFit="1" customWidth="1"/>
    <col min="5914" max="5914" width="14.85546875" style="285" bestFit="1" customWidth="1"/>
    <col min="5915" max="5917" width="14.85546875" style="285" customWidth="1"/>
    <col min="5918" max="5918" width="10.85546875" style="285" bestFit="1" customWidth="1"/>
    <col min="5919" max="5919" width="9.140625" style="285"/>
    <col min="5920" max="5920" width="108.28515625" style="285" customWidth="1"/>
    <col min="5921" max="6144" width="9.140625" style="285"/>
    <col min="6145" max="6145" width="47.28515625" style="285" customWidth="1"/>
    <col min="6146" max="6149" width="9.140625" style="285"/>
    <col min="6150" max="6150" width="2.42578125" style="285" customWidth="1"/>
    <col min="6151" max="6155" width="9.140625" style="285"/>
    <col min="6156" max="6156" width="2.42578125" style="285" customWidth="1"/>
    <col min="6157" max="6161" width="9.140625" style="285"/>
    <col min="6162" max="6162" width="2.42578125" style="285" customWidth="1"/>
    <col min="6163" max="6167" width="9.140625" style="285"/>
    <col min="6168" max="6168" width="4.85546875" style="285" customWidth="1"/>
    <col min="6169" max="6169" width="13.42578125" style="285" bestFit="1" customWidth="1"/>
    <col min="6170" max="6170" width="14.85546875" style="285" bestFit="1" customWidth="1"/>
    <col min="6171" max="6173" width="14.85546875" style="285" customWidth="1"/>
    <col min="6174" max="6174" width="10.85546875" style="285" bestFit="1" customWidth="1"/>
    <col min="6175" max="6175" width="9.140625" style="285"/>
    <col min="6176" max="6176" width="108.28515625" style="285" customWidth="1"/>
    <col min="6177" max="6400" width="9.140625" style="285"/>
    <col min="6401" max="6401" width="47.28515625" style="285" customWidth="1"/>
    <col min="6402" max="6405" width="9.140625" style="285"/>
    <col min="6406" max="6406" width="2.42578125" style="285" customWidth="1"/>
    <col min="6407" max="6411" width="9.140625" style="285"/>
    <col min="6412" max="6412" width="2.42578125" style="285" customWidth="1"/>
    <col min="6413" max="6417" width="9.140625" style="285"/>
    <col min="6418" max="6418" width="2.42578125" style="285" customWidth="1"/>
    <col min="6419" max="6423" width="9.140625" style="285"/>
    <col min="6424" max="6424" width="4.85546875" style="285" customWidth="1"/>
    <col min="6425" max="6425" width="13.42578125" style="285" bestFit="1" customWidth="1"/>
    <col min="6426" max="6426" width="14.85546875" style="285" bestFit="1" customWidth="1"/>
    <col min="6427" max="6429" width="14.85546875" style="285" customWidth="1"/>
    <col min="6430" max="6430" width="10.85546875" style="285" bestFit="1" customWidth="1"/>
    <col min="6431" max="6431" width="9.140625" style="285"/>
    <col min="6432" max="6432" width="108.28515625" style="285" customWidth="1"/>
    <col min="6433" max="6656" width="9.140625" style="285"/>
    <col min="6657" max="6657" width="47.28515625" style="285" customWidth="1"/>
    <col min="6658" max="6661" width="9.140625" style="285"/>
    <col min="6662" max="6662" width="2.42578125" style="285" customWidth="1"/>
    <col min="6663" max="6667" width="9.140625" style="285"/>
    <col min="6668" max="6668" width="2.42578125" style="285" customWidth="1"/>
    <col min="6669" max="6673" width="9.140625" style="285"/>
    <col min="6674" max="6674" width="2.42578125" style="285" customWidth="1"/>
    <col min="6675" max="6679" width="9.140625" style="285"/>
    <col min="6680" max="6680" width="4.85546875" style="285" customWidth="1"/>
    <col min="6681" max="6681" width="13.42578125" style="285" bestFit="1" customWidth="1"/>
    <col min="6682" max="6682" width="14.85546875" style="285" bestFit="1" customWidth="1"/>
    <col min="6683" max="6685" width="14.85546875" style="285" customWidth="1"/>
    <col min="6686" max="6686" width="10.85546875" style="285" bestFit="1" customWidth="1"/>
    <col min="6687" max="6687" width="9.140625" style="285"/>
    <col min="6688" max="6688" width="108.28515625" style="285" customWidth="1"/>
    <col min="6689" max="6912" width="9.140625" style="285"/>
    <col min="6913" max="6913" width="47.28515625" style="285" customWidth="1"/>
    <col min="6914" max="6917" width="9.140625" style="285"/>
    <col min="6918" max="6918" width="2.42578125" style="285" customWidth="1"/>
    <col min="6919" max="6923" width="9.140625" style="285"/>
    <col min="6924" max="6924" width="2.42578125" style="285" customWidth="1"/>
    <col min="6925" max="6929" width="9.140625" style="285"/>
    <col min="6930" max="6930" width="2.42578125" style="285" customWidth="1"/>
    <col min="6931" max="6935" width="9.140625" style="285"/>
    <col min="6936" max="6936" width="4.85546875" style="285" customWidth="1"/>
    <col min="6937" max="6937" width="13.42578125" style="285" bestFit="1" customWidth="1"/>
    <col min="6938" max="6938" width="14.85546875" style="285" bestFit="1" customWidth="1"/>
    <col min="6939" max="6941" width="14.85546875" style="285" customWidth="1"/>
    <col min="6942" max="6942" width="10.85546875" style="285" bestFit="1" customWidth="1"/>
    <col min="6943" max="6943" width="9.140625" style="285"/>
    <col min="6944" max="6944" width="108.28515625" style="285" customWidth="1"/>
    <col min="6945" max="7168" width="9.140625" style="285"/>
    <col min="7169" max="7169" width="47.28515625" style="285" customWidth="1"/>
    <col min="7170" max="7173" width="9.140625" style="285"/>
    <col min="7174" max="7174" width="2.42578125" style="285" customWidth="1"/>
    <col min="7175" max="7179" width="9.140625" style="285"/>
    <col min="7180" max="7180" width="2.42578125" style="285" customWidth="1"/>
    <col min="7181" max="7185" width="9.140625" style="285"/>
    <col min="7186" max="7186" width="2.42578125" style="285" customWidth="1"/>
    <col min="7187" max="7191" width="9.140625" style="285"/>
    <col min="7192" max="7192" width="4.85546875" style="285" customWidth="1"/>
    <col min="7193" max="7193" width="13.42578125" style="285" bestFit="1" customWidth="1"/>
    <col min="7194" max="7194" width="14.85546875" style="285" bestFit="1" customWidth="1"/>
    <col min="7195" max="7197" width="14.85546875" style="285" customWidth="1"/>
    <col min="7198" max="7198" width="10.85546875" style="285" bestFit="1" customWidth="1"/>
    <col min="7199" max="7199" width="9.140625" style="285"/>
    <col min="7200" max="7200" width="108.28515625" style="285" customWidth="1"/>
    <col min="7201" max="7424" width="9.140625" style="285"/>
    <col min="7425" max="7425" width="47.28515625" style="285" customWidth="1"/>
    <col min="7426" max="7429" width="9.140625" style="285"/>
    <col min="7430" max="7430" width="2.42578125" style="285" customWidth="1"/>
    <col min="7431" max="7435" width="9.140625" style="285"/>
    <col min="7436" max="7436" width="2.42578125" style="285" customWidth="1"/>
    <col min="7437" max="7441" width="9.140625" style="285"/>
    <col min="7442" max="7442" width="2.42578125" style="285" customWidth="1"/>
    <col min="7443" max="7447" width="9.140625" style="285"/>
    <col min="7448" max="7448" width="4.85546875" style="285" customWidth="1"/>
    <col min="7449" max="7449" width="13.42578125" style="285" bestFit="1" customWidth="1"/>
    <col min="7450" max="7450" width="14.85546875" style="285" bestFit="1" customWidth="1"/>
    <col min="7451" max="7453" width="14.85546875" style="285" customWidth="1"/>
    <col min="7454" max="7454" width="10.85546875" style="285" bestFit="1" customWidth="1"/>
    <col min="7455" max="7455" width="9.140625" style="285"/>
    <col min="7456" max="7456" width="108.28515625" style="285" customWidth="1"/>
    <col min="7457" max="7680" width="9.140625" style="285"/>
    <col min="7681" max="7681" width="47.28515625" style="285" customWidth="1"/>
    <col min="7682" max="7685" width="9.140625" style="285"/>
    <col min="7686" max="7686" width="2.42578125" style="285" customWidth="1"/>
    <col min="7687" max="7691" width="9.140625" style="285"/>
    <col min="7692" max="7692" width="2.42578125" style="285" customWidth="1"/>
    <col min="7693" max="7697" width="9.140625" style="285"/>
    <col min="7698" max="7698" width="2.42578125" style="285" customWidth="1"/>
    <col min="7699" max="7703" width="9.140625" style="285"/>
    <col min="7704" max="7704" width="4.85546875" style="285" customWidth="1"/>
    <col min="7705" max="7705" width="13.42578125" style="285" bestFit="1" customWidth="1"/>
    <col min="7706" max="7706" width="14.85546875" style="285" bestFit="1" customWidth="1"/>
    <col min="7707" max="7709" width="14.85546875" style="285" customWidth="1"/>
    <col min="7710" max="7710" width="10.85546875" style="285" bestFit="1" customWidth="1"/>
    <col min="7711" max="7711" width="9.140625" style="285"/>
    <col min="7712" max="7712" width="108.28515625" style="285" customWidth="1"/>
    <col min="7713" max="7936" width="9.140625" style="285"/>
    <col min="7937" max="7937" width="47.28515625" style="285" customWidth="1"/>
    <col min="7938" max="7941" width="9.140625" style="285"/>
    <col min="7942" max="7942" width="2.42578125" style="285" customWidth="1"/>
    <col min="7943" max="7947" width="9.140625" style="285"/>
    <col min="7948" max="7948" width="2.42578125" style="285" customWidth="1"/>
    <col min="7949" max="7953" width="9.140625" style="285"/>
    <col min="7954" max="7954" width="2.42578125" style="285" customWidth="1"/>
    <col min="7955" max="7959" width="9.140625" style="285"/>
    <col min="7960" max="7960" width="4.85546875" style="285" customWidth="1"/>
    <col min="7961" max="7961" width="13.42578125" style="285" bestFit="1" customWidth="1"/>
    <col min="7962" max="7962" width="14.85546875" style="285" bestFit="1" customWidth="1"/>
    <col min="7963" max="7965" width="14.85546875" style="285" customWidth="1"/>
    <col min="7966" max="7966" width="10.85546875" style="285" bestFit="1" customWidth="1"/>
    <col min="7967" max="7967" width="9.140625" style="285"/>
    <col min="7968" max="7968" width="108.28515625" style="285" customWidth="1"/>
    <col min="7969" max="8192" width="9.140625" style="285"/>
    <col min="8193" max="8193" width="47.28515625" style="285" customWidth="1"/>
    <col min="8194" max="8197" width="9.140625" style="285"/>
    <col min="8198" max="8198" width="2.42578125" style="285" customWidth="1"/>
    <col min="8199" max="8203" width="9.140625" style="285"/>
    <col min="8204" max="8204" width="2.42578125" style="285" customWidth="1"/>
    <col min="8205" max="8209" width="9.140625" style="285"/>
    <col min="8210" max="8210" width="2.42578125" style="285" customWidth="1"/>
    <col min="8211" max="8215" width="9.140625" style="285"/>
    <col min="8216" max="8216" width="4.85546875" style="285" customWidth="1"/>
    <col min="8217" max="8217" width="13.42578125" style="285" bestFit="1" customWidth="1"/>
    <col min="8218" max="8218" width="14.85546875" style="285" bestFit="1" customWidth="1"/>
    <col min="8219" max="8221" width="14.85546875" style="285" customWidth="1"/>
    <col min="8222" max="8222" width="10.85546875" style="285" bestFit="1" customWidth="1"/>
    <col min="8223" max="8223" width="9.140625" style="285"/>
    <col min="8224" max="8224" width="108.28515625" style="285" customWidth="1"/>
    <col min="8225" max="8448" width="9.140625" style="285"/>
    <col min="8449" max="8449" width="47.28515625" style="285" customWidth="1"/>
    <col min="8450" max="8453" width="9.140625" style="285"/>
    <col min="8454" max="8454" width="2.42578125" style="285" customWidth="1"/>
    <col min="8455" max="8459" width="9.140625" style="285"/>
    <col min="8460" max="8460" width="2.42578125" style="285" customWidth="1"/>
    <col min="8461" max="8465" width="9.140625" style="285"/>
    <col min="8466" max="8466" width="2.42578125" style="285" customWidth="1"/>
    <col min="8467" max="8471" width="9.140625" style="285"/>
    <col min="8472" max="8472" width="4.85546875" style="285" customWidth="1"/>
    <col min="8473" max="8473" width="13.42578125" style="285" bestFit="1" customWidth="1"/>
    <col min="8474" max="8474" width="14.85546875" style="285" bestFit="1" customWidth="1"/>
    <col min="8475" max="8477" width="14.85546875" style="285" customWidth="1"/>
    <col min="8478" max="8478" width="10.85546875" style="285" bestFit="1" customWidth="1"/>
    <col min="8479" max="8479" width="9.140625" style="285"/>
    <col min="8480" max="8480" width="108.28515625" style="285" customWidth="1"/>
    <col min="8481" max="8704" width="9.140625" style="285"/>
    <col min="8705" max="8705" width="47.28515625" style="285" customWidth="1"/>
    <col min="8706" max="8709" width="9.140625" style="285"/>
    <col min="8710" max="8710" width="2.42578125" style="285" customWidth="1"/>
    <col min="8711" max="8715" width="9.140625" style="285"/>
    <col min="8716" max="8716" width="2.42578125" style="285" customWidth="1"/>
    <col min="8717" max="8721" width="9.140625" style="285"/>
    <col min="8722" max="8722" width="2.42578125" style="285" customWidth="1"/>
    <col min="8723" max="8727" width="9.140625" style="285"/>
    <col min="8728" max="8728" width="4.85546875" style="285" customWidth="1"/>
    <col min="8729" max="8729" width="13.42578125" style="285" bestFit="1" customWidth="1"/>
    <col min="8730" max="8730" width="14.85546875" style="285" bestFit="1" customWidth="1"/>
    <col min="8731" max="8733" width="14.85546875" style="285" customWidth="1"/>
    <col min="8734" max="8734" width="10.85546875" style="285" bestFit="1" customWidth="1"/>
    <col min="8735" max="8735" width="9.140625" style="285"/>
    <col min="8736" max="8736" width="108.28515625" style="285" customWidth="1"/>
    <col min="8737" max="8960" width="9.140625" style="285"/>
    <col min="8961" max="8961" width="47.28515625" style="285" customWidth="1"/>
    <col min="8962" max="8965" width="9.140625" style="285"/>
    <col min="8966" max="8966" width="2.42578125" style="285" customWidth="1"/>
    <col min="8967" max="8971" width="9.140625" style="285"/>
    <col min="8972" max="8972" width="2.42578125" style="285" customWidth="1"/>
    <col min="8973" max="8977" width="9.140625" style="285"/>
    <col min="8978" max="8978" width="2.42578125" style="285" customWidth="1"/>
    <col min="8979" max="8983" width="9.140625" style="285"/>
    <col min="8984" max="8984" width="4.85546875" style="285" customWidth="1"/>
    <col min="8985" max="8985" width="13.42578125" style="285" bestFit="1" customWidth="1"/>
    <col min="8986" max="8986" width="14.85546875" style="285" bestFit="1" customWidth="1"/>
    <col min="8987" max="8989" width="14.85546875" style="285" customWidth="1"/>
    <col min="8990" max="8990" width="10.85546875" style="285" bestFit="1" customWidth="1"/>
    <col min="8991" max="8991" width="9.140625" style="285"/>
    <col min="8992" max="8992" width="108.28515625" style="285" customWidth="1"/>
    <col min="8993" max="9216" width="9.140625" style="285"/>
    <col min="9217" max="9217" width="47.28515625" style="285" customWidth="1"/>
    <col min="9218" max="9221" width="9.140625" style="285"/>
    <col min="9222" max="9222" width="2.42578125" style="285" customWidth="1"/>
    <col min="9223" max="9227" width="9.140625" style="285"/>
    <col min="9228" max="9228" width="2.42578125" style="285" customWidth="1"/>
    <col min="9229" max="9233" width="9.140625" style="285"/>
    <col min="9234" max="9234" width="2.42578125" style="285" customWidth="1"/>
    <col min="9235" max="9239" width="9.140625" style="285"/>
    <col min="9240" max="9240" width="4.85546875" style="285" customWidth="1"/>
    <col min="9241" max="9241" width="13.42578125" style="285" bestFit="1" customWidth="1"/>
    <col min="9242" max="9242" width="14.85546875" style="285" bestFit="1" customWidth="1"/>
    <col min="9243" max="9245" width="14.85546875" style="285" customWidth="1"/>
    <col min="9246" max="9246" width="10.85546875" style="285" bestFit="1" customWidth="1"/>
    <col min="9247" max="9247" width="9.140625" style="285"/>
    <col min="9248" max="9248" width="108.28515625" style="285" customWidth="1"/>
    <col min="9249" max="9472" width="9.140625" style="285"/>
    <col min="9473" max="9473" width="47.28515625" style="285" customWidth="1"/>
    <col min="9474" max="9477" width="9.140625" style="285"/>
    <col min="9478" max="9478" width="2.42578125" style="285" customWidth="1"/>
    <col min="9479" max="9483" width="9.140625" style="285"/>
    <col min="9484" max="9484" width="2.42578125" style="285" customWidth="1"/>
    <col min="9485" max="9489" width="9.140625" style="285"/>
    <col min="9490" max="9490" width="2.42578125" style="285" customWidth="1"/>
    <col min="9491" max="9495" width="9.140625" style="285"/>
    <col min="9496" max="9496" width="4.85546875" style="285" customWidth="1"/>
    <col min="9497" max="9497" width="13.42578125" style="285" bestFit="1" customWidth="1"/>
    <col min="9498" max="9498" width="14.85546875" style="285" bestFit="1" customWidth="1"/>
    <col min="9499" max="9501" width="14.85546875" style="285" customWidth="1"/>
    <col min="9502" max="9502" width="10.85546875" style="285" bestFit="1" customWidth="1"/>
    <col min="9503" max="9503" width="9.140625" style="285"/>
    <col min="9504" max="9504" width="108.28515625" style="285" customWidth="1"/>
    <col min="9505" max="9728" width="9.140625" style="285"/>
    <col min="9729" max="9729" width="47.28515625" style="285" customWidth="1"/>
    <col min="9730" max="9733" width="9.140625" style="285"/>
    <col min="9734" max="9734" width="2.42578125" style="285" customWidth="1"/>
    <col min="9735" max="9739" width="9.140625" style="285"/>
    <col min="9740" max="9740" width="2.42578125" style="285" customWidth="1"/>
    <col min="9741" max="9745" width="9.140625" style="285"/>
    <col min="9746" max="9746" width="2.42578125" style="285" customWidth="1"/>
    <col min="9747" max="9751" width="9.140625" style="285"/>
    <col min="9752" max="9752" width="4.85546875" style="285" customWidth="1"/>
    <col min="9753" max="9753" width="13.42578125" style="285" bestFit="1" customWidth="1"/>
    <col min="9754" max="9754" width="14.85546875" style="285" bestFit="1" customWidth="1"/>
    <col min="9755" max="9757" width="14.85546875" style="285" customWidth="1"/>
    <col min="9758" max="9758" width="10.85546875" style="285" bestFit="1" customWidth="1"/>
    <col min="9759" max="9759" width="9.140625" style="285"/>
    <col min="9760" max="9760" width="108.28515625" style="285" customWidth="1"/>
    <col min="9761" max="9984" width="9.140625" style="285"/>
    <col min="9985" max="9985" width="47.28515625" style="285" customWidth="1"/>
    <col min="9986" max="9989" width="9.140625" style="285"/>
    <col min="9990" max="9990" width="2.42578125" style="285" customWidth="1"/>
    <col min="9991" max="9995" width="9.140625" style="285"/>
    <col min="9996" max="9996" width="2.42578125" style="285" customWidth="1"/>
    <col min="9997" max="10001" width="9.140625" style="285"/>
    <col min="10002" max="10002" width="2.42578125" style="285" customWidth="1"/>
    <col min="10003" max="10007" width="9.140625" style="285"/>
    <col min="10008" max="10008" width="4.85546875" style="285" customWidth="1"/>
    <col min="10009" max="10009" width="13.42578125" style="285" bestFit="1" customWidth="1"/>
    <col min="10010" max="10010" width="14.85546875" style="285" bestFit="1" customWidth="1"/>
    <col min="10011" max="10013" width="14.85546875" style="285" customWidth="1"/>
    <col min="10014" max="10014" width="10.85546875" style="285" bestFit="1" customWidth="1"/>
    <col min="10015" max="10015" width="9.140625" style="285"/>
    <col min="10016" max="10016" width="108.28515625" style="285" customWidth="1"/>
    <col min="10017" max="10240" width="9.140625" style="285"/>
    <col min="10241" max="10241" width="47.28515625" style="285" customWidth="1"/>
    <col min="10242" max="10245" width="9.140625" style="285"/>
    <col min="10246" max="10246" width="2.42578125" style="285" customWidth="1"/>
    <col min="10247" max="10251" width="9.140625" style="285"/>
    <col min="10252" max="10252" width="2.42578125" style="285" customWidth="1"/>
    <col min="10253" max="10257" width="9.140625" style="285"/>
    <col min="10258" max="10258" width="2.42578125" style="285" customWidth="1"/>
    <col min="10259" max="10263" width="9.140625" style="285"/>
    <col min="10264" max="10264" width="4.85546875" style="285" customWidth="1"/>
    <col min="10265" max="10265" width="13.42578125" style="285" bestFit="1" customWidth="1"/>
    <col min="10266" max="10266" width="14.85546875" style="285" bestFit="1" customWidth="1"/>
    <col min="10267" max="10269" width="14.85546875" style="285" customWidth="1"/>
    <col min="10270" max="10270" width="10.85546875" style="285" bestFit="1" customWidth="1"/>
    <col min="10271" max="10271" width="9.140625" style="285"/>
    <col min="10272" max="10272" width="108.28515625" style="285" customWidth="1"/>
    <col min="10273" max="10496" width="9.140625" style="285"/>
    <col min="10497" max="10497" width="47.28515625" style="285" customWidth="1"/>
    <col min="10498" max="10501" width="9.140625" style="285"/>
    <col min="10502" max="10502" width="2.42578125" style="285" customWidth="1"/>
    <col min="10503" max="10507" width="9.140625" style="285"/>
    <col min="10508" max="10508" width="2.42578125" style="285" customWidth="1"/>
    <col min="10509" max="10513" width="9.140625" style="285"/>
    <col min="10514" max="10514" width="2.42578125" style="285" customWidth="1"/>
    <col min="10515" max="10519" width="9.140625" style="285"/>
    <col min="10520" max="10520" width="4.85546875" style="285" customWidth="1"/>
    <col min="10521" max="10521" width="13.42578125" style="285" bestFit="1" customWidth="1"/>
    <col min="10522" max="10522" width="14.85546875" style="285" bestFit="1" customWidth="1"/>
    <col min="10523" max="10525" width="14.85546875" style="285" customWidth="1"/>
    <col min="10526" max="10526" width="10.85546875" style="285" bestFit="1" customWidth="1"/>
    <col min="10527" max="10527" width="9.140625" style="285"/>
    <col min="10528" max="10528" width="108.28515625" style="285" customWidth="1"/>
    <col min="10529" max="10752" width="9.140625" style="285"/>
    <col min="10753" max="10753" width="47.28515625" style="285" customWidth="1"/>
    <col min="10754" max="10757" width="9.140625" style="285"/>
    <col min="10758" max="10758" width="2.42578125" style="285" customWidth="1"/>
    <col min="10759" max="10763" width="9.140625" style="285"/>
    <col min="10764" max="10764" width="2.42578125" style="285" customWidth="1"/>
    <col min="10765" max="10769" width="9.140625" style="285"/>
    <col min="10770" max="10770" width="2.42578125" style="285" customWidth="1"/>
    <col min="10771" max="10775" width="9.140625" style="285"/>
    <col min="10776" max="10776" width="4.85546875" style="285" customWidth="1"/>
    <col min="10777" max="10777" width="13.42578125" style="285" bestFit="1" customWidth="1"/>
    <col min="10778" max="10778" width="14.85546875" style="285" bestFit="1" customWidth="1"/>
    <col min="10779" max="10781" width="14.85546875" style="285" customWidth="1"/>
    <col min="10782" max="10782" width="10.85546875" style="285" bestFit="1" customWidth="1"/>
    <col min="10783" max="10783" width="9.140625" style="285"/>
    <col min="10784" max="10784" width="108.28515625" style="285" customWidth="1"/>
    <col min="10785" max="11008" width="9.140625" style="285"/>
    <col min="11009" max="11009" width="47.28515625" style="285" customWidth="1"/>
    <col min="11010" max="11013" width="9.140625" style="285"/>
    <col min="11014" max="11014" width="2.42578125" style="285" customWidth="1"/>
    <col min="11015" max="11019" width="9.140625" style="285"/>
    <col min="11020" max="11020" width="2.42578125" style="285" customWidth="1"/>
    <col min="11021" max="11025" width="9.140625" style="285"/>
    <col min="11026" max="11026" width="2.42578125" style="285" customWidth="1"/>
    <col min="11027" max="11031" width="9.140625" style="285"/>
    <col min="11032" max="11032" width="4.85546875" style="285" customWidth="1"/>
    <col min="11033" max="11033" width="13.42578125" style="285" bestFit="1" customWidth="1"/>
    <col min="11034" max="11034" width="14.85546875" style="285" bestFit="1" customWidth="1"/>
    <col min="11035" max="11037" width="14.85546875" style="285" customWidth="1"/>
    <col min="11038" max="11038" width="10.85546875" style="285" bestFit="1" customWidth="1"/>
    <col min="11039" max="11039" width="9.140625" style="285"/>
    <col min="11040" max="11040" width="108.28515625" style="285" customWidth="1"/>
    <col min="11041" max="11264" width="9.140625" style="285"/>
    <col min="11265" max="11265" width="47.28515625" style="285" customWidth="1"/>
    <col min="11266" max="11269" width="9.140625" style="285"/>
    <col min="11270" max="11270" width="2.42578125" style="285" customWidth="1"/>
    <col min="11271" max="11275" width="9.140625" style="285"/>
    <col min="11276" max="11276" width="2.42578125" style="285" customWidth="1"/>
    <col min="11277" max="11281" width="9.140625" style="285"/>
    <col min="11282" max="11282" width="2.42578125" style="285" customWidth="1"/>
    <col min="11283" max="11287" width="9.140625" style="285"/>
    <col min="11288" max="11288" width="4.85546875" style="285" customWidth="1"/>
    <col min="11289" max="11289" width="13.42578125" style="285" bestFit="1" customWidth="1"/>
    <col min="11290" max="11290" width="14.85546875" style="285" bestFit="1" customWidth="1"/>
    <col min="11291" max="11293" width="14.85546875" style="285" customWidth="1"/>
    <col min="11294" max="11294" width="10.85546875" style="285" bestFit="1" customWidth="1"/>
    <col min="11295" max="11295" width="9.140625" style="285"/>
    <col min="11296" max="11296" width="108.28515625" style="285" customWidth="1"/>
    <col min="11297" max="11520" width="9.140625" style="285"/>
    <col min="11521" max="11521" width="47.28515625" style="285" customWidth="1"/>
    <col min="11522" max="11525" width="9.140625" style="285"/>
    <col min="11526" max="11526" width="2.42578125" style="285" customWidth="1"/>
    <col min="11527" max="11531" width="9.140625" style="285"/>
    <col min="11532" max="11532" width="2.42578125" style="285" customWidth="1"/>
    <col min="11533" max="11537" width="9.140625" style="285"/>
    <col min="11538" max="11538" width="2.42578125" style="285" customWidth="1"/>
    <col min="11539" max="11543" width="9.140625" style="285"/>
    <col min="11544" max="11544" width="4.85546875" style="285" customWidth="1"/>
    <col min="11545" max="11545" width="13.42578125" style="285" bestFit="1" customWidth="1"/>
    <col min="11546" max="11546" width="14.85546875" style="285" bestFit="1" customWidth="1"/>
    <col min="11547" max="11549" width="14.85546875" style="285" customWidth="1"/>
    <col min="11550" max="11550" width="10.85546875" style="285" bestFit="1" customWidth="1"/>
    <col min="11551" max="11551" width="9.140625" style="285"/>
    <col min="11552" max="11552" width="108.28515625" style="285" customWidth="1"/>
    <col min="11553" max="11776" width="9.140625" style="285"/>
    <col min="11777" max="11777" width="47.28515625" style="285" customWidth="1"/>
    <col min="11778" max="11781" width="9.140625" style="285"/>
    <col min="11782" max="11782" width="2.42578125" style="285" customWidth="1"/>
    <col min="11783" max="11787" width="9.140625" style="285"/>
    <col min="11788" max="11788" width="2.42578125" style="285" customWidth="1"/>
    <col min="11789" max="11793" width="9.140625" style="285"/>
    <col min="11794" max="11794" width="2.42578125" style="285" customWidth="1"/>
    <col min="11795" max="11799" width="9.140625" style="285"/>
    <col min="11800" max="11800" width="4.85546875" style="285" customWidth="1"/>
    <col min="11801" max="11801" width="13.42578125" style="285" bestFit="1" customWidth="1"/>
    <col min="11802" max="11802" width="14.85546875" style="285" bestFit="1" customWidth="1"/>
    <col min="11803" max="11805" width="14.85546875" style="285" customWidth="1"/>
    <col min="11806" max="11806" width="10.85546875" style="285" bestFit="1" customWidth="1"/>
    <col min="11807" max="11807" width="9.140625" style="285"/>
    <col min="11808" max="11808" width="108.28515625" style="285" customWidth="1"/>
    <col min="11809" max="12032" width="9.140625" style="285"/>
    <col min="12033" max="12033" width="47.28515625" style="285" customWidth="1"/>
    <col min="12034" max="12037" width="9.140625" style="285"/>
    <col min="12038" max="12038" width="2.42578125" style="285" customWidth="1"/>
    <col min="12039" max="12043" width="9.140625" style="285"/>
    <col min="12044" max="12044" width="2.42578125" style="285" customWidth="1"/>
    <col min="12045" max="12049" width="9.140625" style="285"/>
    <col min="12050" max="12050" width="2.42578125" style="285" customWidth="1"/>
    <col min="12051" max="12055" width="9.140625" style="285"/>
    <col min="12056" max="12056" width="4.85546875" style="285" customWidth="1"/>
    <col min="12057" max="12057" width="13.42578125" style="285" bestFit="1" customWidth="1"/>
    <col min="12058" max="12058" width="14.85546875" style="285" bestFit="1" customWidth="1"/>
    <col min="12059" max="12061" width="14.85546875" style="285" customWidth="1"/>
    <col min="12062" max="12062" width="10.85546875" style="285" bestFit="1" customWidth="1"/>
    <col min="12063" max="12063" width="9.140625" style="285"/>
    <col min="12064" max="12064" width="108.28515625" style="285" customWidth="1"/>
    <col min="12065" max="12288" width="9.140625" style="285"/>
    <col min="12289" max="12289" width="47.28515625" style="285" customWidth="1"/>
    <col min="12290" max="12293" width="9.140625" style="285"/>
    <col min="12294" max="12294" width="2.42578125" style="285" customWidth="1"/>
    <col min="12295" max="12299" width="9.140625" style="285"/>
    <col min="12300" max="12300" width="2.42578125" style="285" customWidth="1"/>
    <col min="12301" max="12305" width="9.140625" style="285"/>
    <col min="12306" max="12306" width="2.42578125" style="285" customWidth="1"/>
    <col min="12307" max="12311" width="9.140625" style="285"/>
    <col min="12312" max="12312" width="4.85546875" style="285" customWidth="1"/>
    <col min="12313" max="12313" width="13.42578125" style="285" bestFit="1" customWidth="1"/>
    <col min="12314" max="12314" width="14.85546875" style="285" bestFit="1" customWidth="1"/>
    <col min="12315" max="12317" width="14.85546875" style="285" customWidth="1"/>
    <col min="12318" max="12318" width="10.85546875" style="285" bestFit="1" customWidth="1"/>
    <col min="12319" max="12319" width="9.140625" style="285"/>
    <col min="12320" max="12320" width="108.28515625" style="285" customWidth="1"/>
    <col min="12321" max="12544" width="9.140625" style="285"/>
    <col min="12545" max="12545" width="47.28515625" style="285" customWidth="1"/>
    <col min="12546" max="12549" width="9.140625" style="285"/>
    <col min="12550" max="12550" width="2.42578125" style="285" customWidth="1"/>
    <col min="12551" max="12555" width="9.140625" style="285"/>
    <col min="12556" max="12556" width="2.42578125" style="285" customWidth="1"/>
    <col min="12557" max="12561" width="9.140625" style="285"/>
    <col min="12562" max="12562" width="2.42578125" style="285" customWidth="1"/>
    <col min="12563" max="12567" width="9.140625" style="285"/>
    <col min="12568" max="12568" width="4.85546875" style="285" customWidth="1"/>
    <col min="12569" max="12569" width="13.42578125" style="285" bestFit="1" customWidth="1"/>
    <col min="12570" max="12570" width="14.85546875" style="285" bestFit="1" customWidth="1"/>
    <col min="12571" max="12573" width="14.85546875" style="285" customWidth="1"/>
    <col min="12574" max="12574" width="10.85546875" style="285" bestFit="1" customWidth="1"/>
    <col min="12575" max="12575" width="9.140625" style="285"/>
    <col min="12576" max="12576" width="108.28515625" style="285" customWidth="1"/>
    <col min="12577" max="12800" width="9.140625" style="285"/>
    <col min="12801" max="12801" width="47.28515625" style="285" customWidth="1"/>
    <col min="12802" max="12805" width="9.140625" style="285"/>
    <col min="12806" max="12806" width="2.42578125" style="285" customWidth="1"/>
    <col min="12807" max="12811" width="9.140625" style="285"/>
    <col min="12812" max="12812" width="2.42578125" style="285" customWidth="1"/>
    <col min="12813" max="12817" width="9.140625" style="285"/>
    <col min="12818" max="12818" width="2.42578125" style="285" customWidth="1"/>
    <col min="12819" max="12823" width="9.140625" style="285"/>
    <col min="12824" max="12824" width="4.85546875" style="285" customWidth="1"/>
    <col min="12825" max="12825" width="13.42578125" style="285" bestFit="1" customWidth="1"/>
    <col min="12826" max="12826" width="14.85546875" style="285" bestFit="1" customWidth="1"/>
    <col min="12827" max="12829" width="14.85546875" style="285" customWidth="1"/>
    <col min="12830" max="12830" width="10.85546875" style="285" bestFit="1" customWidth="1"/>
    <col min="12831" max="12831" width="9.140625" style="285"/>
    <col min="12832" max="12832" width="108.28515625" style="285" customWidth="1"/>
    <col min="12833" max="13056" width="9.140625" style="285"/>
    <col min="13057" max="13057" width="47.28515625" style="285" customWidth="1"/>
    <col min="13058" max="13061" width="9.140625" style="285"/>
    <col min="13062" max="13062" width="2.42578125" style="285" customWidth="1"/>
    <col min="13063" max="13067" width="9.140625" style="285"/>
    <col min="13068" max="13068" width="2.42578125" style="285" customWidth="1"/>
    <col min="13069" max="13073" width="9.140625" style="285"/>
    <col min="13074" max="13074" width="2.42578125" style="285" customWidth="1"/>
    <col min="13075" max="13079" width="9.140625" style="285"/>
    <col min="13080" max="13080" width="4.85546875" style="285" customWidth="1"/>
    <col min="13081" max="13081" width="13.42578125" style="285" bestFit="1" customWidth="1"/>
    <col min="13082" max="13082" width="14.85546875" style="285" bestFit="1" customWidth="1"/>
    <col min="13083" max="13085" width="14.85546875" style="285" customWidth="1"/>
    <col min="13086" max="13086" width="10.85546875" style="285" bestFit="1" customWidth="1"/>
    <col min="13087" max="13087" width="9.140625" style="285"/>
    <col min="13088" max="13088" width="108.28515625" style="285" customWidth="1"/>
    <col min="13089" max="13312" width="9.140625" style="285"/>
    <col min="13313" max="13313" width="47.28515625" style="285" customWidth="1"/>
    <col min="13314" max="13317" width="9.140625" style="285"/>
    <col min="13318" max="13318" width="2.42578125" style="285" customWidth="1"/>
    <col min="13319" max="13323" width="9.140625" style="285"/>
    <col min="13324" max="13324" width="2.42578125" style="285" customWidth="1"/>
    <col min="13325" max="13329" width="9.140625" style="285"/>
    <col min="13330" max="13330" width="2.42578125" style="285" customWidth="1"/>
    <col min="13331" max="13335" width="9.140625" style="285"/>
    <col min="13336" max="13336" width="4.85546875" style="285" customWidth="1"/>
    <col min="13337" max="13337" width="13.42578125" style="285" bestFit="1" customWidth="1"/>
    <col min="13338" max="13338" width="14.85546875" style="285" bestFit="1" customWidth="1"/>
    <col min="13339" max="13341" width="14.85546875" style="285" customWidth="1"/>
    <col min="13342" max="13342" width="10.85546875" style="285" bestFit="1" customWidth="1"/>
    <col min="13343" max="13343" width="9.140625" style="285"/>
    <col min="13344" max="13344" width="108.28515625" style="285" customWidth="1"/>
    <col min="13345" max="13568" width="9.140625" style="285"/>
    <col min="13569" max="13569" width="47.28515625" style="285" customWidth="1"/>
    <col min="13570" max="13573" width="9.140625" style="285"/>
    <col min="13574" max="13574" width="2.42578125" style="285" customWidth="1"/>
    <col min="13575" max="13579" width="9.140625" style="285"/>
    <col min="13580" max="13580" width="2.42578125" style="285" customWidth="1"/>
    <col min="13581" max="13585" width="9.140625" style="285"/>
    <col min="13586" max="13586" width="2.42578125" style="285" customWidth="1"/>
    <col min="13587" max="13591" width="9.140625" style="285"/>
    <col min="13592" max="13592" width="4.85546875" style="285" customWidth="1"/>
    <col min="13593" max="13593" width="13.42578125" style="285" bestFit="1" customWidth="1"/>
    <col min="13594" max="13594" width="14.85546875" style="285" bestFit="1" customWidth="1"/>
    <col min="13595" max="13597" width="14.85546875" style="285" customWidth="1"/>
    <col min="13598" max="13598" width="10.85546875" style="285" bestFit="1" customWidth="1"/>
    <col min="13599" max="13599" width="9.140625" style="285"/>
    <col min="13600" max="13600" width="108.28515625" style="285" customWidth="1"/>
    <col min="13601" max="13824" width="9.140625" style="285"/>
    <col min="13825" max="13825" width="47.28515625" style="285" customWidth="1"/>
    <col min="13826" max="13829" width="9.140625" style="285"/>
    <col min="13830" max="13830" width="2.42578125" style="285" customWidth="1"/>
    <col min="13831" max="13835" width="9.140625" style="285"/>
    <col min="13836" max="13836" width="2.42578125" style="285" customWidth="1"/>
    <col min="13837" max="13841" width="9.140625" style="285"/>
    <col min="13842" max="13842" width="2.42578125" style="285" customWidth="1"/>
    <col min="13843" max="13847" width="9.140625" style="285"/>
    <col min="13848" max="13848" width="4.85546875" style="285" customWidth="1"/>
    <col min="13849" max="13849" width="13.42578125" style="285" bestFit="1" customWidth="1"/>
    <col min="13850" max="13850" width="14.85546875" style="285" bestFit="1" customWidth="1"/>
    <col min="13851" max="13853" width="14.85546875" style="285" customWidth="1"/>
    <col min="13854" max="13854" width="10.85546875" style="285" bestFit="1" customWidth="1"/>
    <col min="13855" max="13855" width="9.140625" style="285"/>
    <col min="13856" max="13856" width="108.28515625" style="285" customWidth="1"/>
    <col min="13857" max="14080" width="9.140625" style="285"/>
    <col min="14081" max="14081" width="47.28515625" style="285" customWidth="1"/>
    <col min="14082" max="14085" width="9.140625" style="285"/>
    <col min="14086" max="14086" width="2.42578125" style="285" customWidth="1"/>
    <col min="14087" max="14091" width="9.140625" style="285"/>
    <col min="14092" max="14092" width="2.42578125" style="285" customWidth="1"/>
    <col min="14093" max="14097" width="9.140625" style="285"/>
    <col min="14098" max="14098" width="2.42578125" style="285" customWidth="1"/>
    <col min="14099" max="14103" width="9.140625" style="285"/>
    <col min="14104" max="14104" width="4.85546875" style="285" customWidth="1"/>
    <col min="14105" max="14105" width="13.42578125" style="285" bestFit="1" customWidth="1"/>
    <col min="14106" max="14106" width="14.85546875" style="285" bestFit="1" customWidth="1"/>
    <col min="14107" max="14109" width="14.85546875" style="285" customWidth="1"/>
    <col min="14110" max="14110" width="10.85546875" style="285" bestFit="1" customWidth="1"/>
    <col min="14111" max="14111" width="9.140625" style="285"/>
    <col min="14112" max="14112" width="108.28515625" style="285" customWidth="1"/>
    <col min="14113" max="14336" width="9.140625" style="285"/>
    <col min="14337" max="14337" width="47.28515625" style="285" customWidth="1"/>
    <col min="14338" max="14341" width="9.140625" style="285"/>
    <col min="14342" max="14342" width="2.42578125" style="285" customWidth="1"/>
    <col min="14343" max="14347" width="9.140625" style="285"/>
    <col min="14348" max="14348" width="2.42578125" style="285" customWidth="1"/>
    <col min="14349" max="14353" width="9.140625" style="285"/>
    <col min="14354" max="14354" width="2.42578125" style="285" customWidth="1"/>
    <col min="14355" max="14359" width="9.140625" style="285"/>
    <col min="14360" max="14360" width="4.85546875" style="285" customWidth="1"/>
    <col min="14361" max="14361" width="13.42578125" style="285" bestFit="1" customWidth="1"/>
    <col min="14362" max="14362" width="14.85546875" style="285" bestFit="1" customWidth="1"/>
    <col min="14363" max="14365" width="14.85546875" style="285" customWidth="1"/>
    <col min="14366" max="14366" width="10.85546875" style="285" bestFit="1" customWidth="1"/>
    <col min="14367" max="14367" width="9.140625" style="285"/>
    <col min="14368" max="14368" width="108.28515625" style="285" customWidth="1"/>
    <col min="14369" max="14592" width="9.140625" style="285"/>
    <col min="14593" max="14593" width="47.28515625" style="285" customWidth="1"/>
    <col min="14594" max="14597" width="9.140625" style="285"/>
    <col min="14598" max="14598" width="2.42578125" style="285" customWidth="1"/>
    <col min="14599" max="14603" width="9.140625" style="285"/>
    <col min="14604" max="14604" width="2.42578125" style="285" customWidth="1"/>
    <col min="14605" max="14609" width="9.140625" style="285"/>
    <col min="14610" max="14610" width="2.42578125" style="285" customWidth="1"/>
    <col min="14611" max="14615" width="9.140625" style="285"/>
    <col min="14616" max="14616" width="4.85546875" style="285" customWidth="1"/>
    <col min="14617" max="14617" width="13.42578125" style="285" bestFit="1" customWidth="1"/>
    <col min="14618" max="14618" width="14.85546875" style="285" bestFit="1" customWidth="1"/>
    <col min="14619" max="14621" width="14.85546875" style="285" customWidth="1"/>
    <col min="14622" max="14622" width="10.85546875" style="285" bestFit="1" customWidth="1"/>
    <col min="14623" max="14623" width="9.140625" style="285"/>
    <col min="14624" max="14624" width="108.28515625" style="285" customWidth="1"/>
    <col min="14625" max="14848" width="9.140625" style="285"/>
    <col min="14849" max="14849" width="47.28515625" style="285" customWidth="1"/>
    <col min="14850" max="14853" width="9.140625" style="285"/>
    <col min="14854" max="14854" width="2.42578125" style="285" customWidth="1"/>
    <col min="14855" max="14859" width="9.140625" style="285"/>
    <col min="14860" max="14860" width="2.42578125" style="285" customWidth="1"/>
    <col min="14861" max="14865" width="9.140625" style="285"/>
    <col min="14866" max="14866" width="2.42578125" style="285" customWidth="1"/>
    <col min="14867" max="14871" width="9.140625" style="285"/>
    <col min="14872" max="14872" width="4.85546875" style="285" customWidth="1"/>
    <col min="14873" max="14873" width="13.42578125" style="285" bestFit="1" customWidth="1"/>
    <col min="14874" max="14874" width="14.85546875" style="285" bestFit="1" customWidth="1"/>
    <col min="14875" max="14877" width="14.85546875" style="285" customWidth="1"/>
    <col min="14878" max="14878" width="10.85546875" style="285" bestFit="1" customWidth="1"/>
    <col min="14879" max="14879" width="9.140625" style="285"/>
    <col min="14880" max="14880" width="108.28515625" style="285" customWidth="1"/>
    <col min="14881" max="15104" width="9.140625" style="285"/>
    <col min="15105" max="15105" width="47.28515625" style="285" customWidth="1"/>
    <col min="15106" max="15109" width="9.140625" style="285"/>
    <col min="15110" max="15110" width="2.42578125" style="285" customWidth="1"/>
    <col min="15111" max="15115" width="9.140625" style="285"/>
    <col min="15116" max="15116" width="2.42578125" style="285" customWidth="1"/>
    <col min="15117" max="15121" width="9.140625" style="285"/>
    <col min="15122" max="15122" width="2.42578125" style="285" customWidth="1"/>
    <col min="15123" max="15127" width="9.140625" style="285"/>
    <col min="15128" max="15128" width="4.85546875" style="285" customWidth="1"/>
    <col min="15129" max="15129" width="13.42578125" style="285" bestFit="1" customWidth="1"/>
    <col min="15130" max="15130" width="14.85546875" style="285" bestFit="1" customWidth="1"/>
    <col min="15131" max="15133" width="14.85546875" style="285" customWidth="1"/>
    <col min="15134" max="15134" width="10.85546875" style="285" bestFit="1" customWidth="1"/>
    <col min="15135" max="15135" width="9.140625" style="285"/>
    <col min="15136" max="15136" width="108.28515625" style="285" customWidth="1"/>
    <col min="15137" max="15360" width="9.140625" style="285"/>
    <col min="15361" max="15361" width="47.28515625" style="285" customWidth="1"/>
    <col min="15362" max="15365" width="9.140625" style="285"/>
    <col min="15366" max="15366" width="2.42578125" style="285" customWidth="1"/>
    <col min="15367" max="15371" width="9.140625" style="285"/>
    <col min="15372" max="15372" width="2.42578125" style="285" customWidth="1"/>
    <col min="15373" max="15377" width="9.140625" style="285"/>
    <col min="15378" max="15378" width="2.42578125" style="285" customWidth="1"/>
    <col min="15379" max="15383" width="9.140625" style="285"/>
    <col min="15384" max="15384" width="4.85546875" style="285" customWidth="1"/>
    <col min="15385" max="15385" width="13.42578125" style="285" bestFit="1" customWidth="1"/>
    <col min="15386" max="15386" width="14.85546875" style="285" bestFit="1" customWidth="1"/>
    <col min="15387" max="15389" width="14.85546875" style="285" customWidth="1"/>
    <col min="15390" max="15390" width="10.85546875" style="285" bestFit="1" customWidth="1"/>
    <col min="15391" max="15391" width="9.140625" style="285"/>
    <col min="15392" max="15392" width="108.28515625" style="285" customWidth="1"/>
    <col min="15393" max="15616" width="9.140625" style="285"/>
    <col min="15617" max="15617" width="47.28515625" style="285" customWidth="1"/>
    <col min="15618" max="15621" width="9.140625" style="285"/>
    <col min="15622" max="15622" width="2.42578125" style="285" customWidth="1"/>
    <col min="15623" max="15627" width="9.140625" style="285"/>
    <col min="15628" max="15628" width="2.42578125" style="285" customWidth="1"/>
    <col min="15629" max="15633" width="9.140625" style="285"/>
    <col min="15634" max="15634" width="2.42578125" style="285" customWidth="1"/>
    <col min="15635" max="15639" width="9.140625" style="285"/>
    <col min="15640" max="15640" width="4.85546875" style="285" customWidth="1"/>
    <col min="15641" max="15641" width="13.42578125" style="285" bestFit="1" customWidth="1"/>
    <col min="15642" max="15642" width="14.85546875" style="285" bestFit="1" customWidth="1"/>
    <col min="15643" max="15645" width="14.85546875" style="285" customWidth="1"/>
    <col min="15646" max="15646" width="10.85546875" style="285" bestFit="1" customWidth="1"/>
    <col min="15647" max="15647" width="9.140625" style="285"/>
    <col min="15648" max="15648" width="108.28515625" style="285" customWidth="1"/>
    <col min="15649" max="15872" width="9.140625" style="285"/>
    <col min="15873" max="15873" width="47.28515625" style="285" customWidth="1"/>
    <col min="15874" max="15877" width="9.140625" style="285"/>
    <col min="15878" max="15878" width="2.42578125" style="285" customWidth="1"/>
    <col min="15879" max="15883" width="9.140625" style="285"/>
    <col min="15884" max="15884" width="2.42578125" style="285" customWidth="1"/>
    <col min="15885" max="15889" width="9.140625" style="285"/>
    <col min="15890" max="15890" width="2.42578125" style="285" customWidth="1"/>
    <col min="15891" max="15895" width="9.140625" style="285"/>
    <col min="15896" max="15896" width="4.85546875" style="285" customWidth="1"/>
    <col min="15897" max="15897" width="13.42578125" style="285" bestFit="1" customWidth="1"/>
    <col min="15898" max="15898" width="14.85546875" style="285" bestFit="1" customWidth="1"/>
    <col min="15899" max="15901" width="14.85546875" style="285" customWidth="1"/>
    <col min="15902" max="15902" width="10.85546875" style="285" bestFit="1" customWidth="1"/>
    <col min="15903" max="15903" width="9.140625" style="285"/>
    <col min="15904" max="15904" width="108.28515625" style="285" customWidth="1"/>
    <col min="15905" max="16128" width="9.140625" style="285"/>
    <col min="16129" max="16129" width="47.28515625" style="285" customWidth="1"/>
    <col min="16130" max="16133" width="9.140625" style="285"/>
    <col min="16134" max="16134" width="2.42578125" style="285" customWidth="1"/>
    <col min="16135" max="16139" width="9.140625" style="285"/>
    <col min="16140" max="16140" width="2.42578125" style="285" customWidth="1"/>
    <col min="16141" max="16145" width="9.140625" style="285"/>
    <col min="16146" max="16146" width="2.42578125" style="285" customWidth="1"/>
    <col min="16147" max="16151" width="9.140625" style="285"/>
    <col min="16152" max="16152" width="4.85546875" style="285" customWidth="1"/>
    <col min="16153" max="16153" width="13.42578125" style="285" bestFit="1" customWidth="1"/>
    <col min="16154" max="16154" width="14.85546875" style="285" bestFit="1" customWidth="1"/>
    <col min="16155" max="16157" width="14.85546875" style="285" customWidth="1"/>
    <col min="16158" max="16158" width="10.85546875" style="285" bestFit="1" customWidth="1"/>
    <col min="16159" max="16159" width="9.140625" style="285"/>
    <col min="16160" max="16160" width="108.28515625" style="285" customWidth="1"/>
    <col min="16161" max="16384" width="9.140625" style="285"/>
  </cols>
  <sheetData>
    <row r="1" spans="1:40" ht="15" customHeight="1" x14ac:dyDescent="0.25">
      <c r="B1" s="285" t="s">
        <v>332</v>
      </c>
    </row>
    <row r="2" spans="1:40" ht="15" customHeight="1" x14ac:dyDescent="0.25">
      <c r="AH2" s="1247" t="s">
        <v>864</v>
      </c>
      <c r="AI2" s="1247"/>
      <c r="AJ2" s="1247" t="s">
        <v>940</v>
      </c>
      <c r="AK2" s="1247"/>
      <c r="AL2" s="645" t="s">
        <v>336</v>
      </c>
      <c r="AM2" s="1247" t="s">
        <v>941</v>
      </c>
      <c r="AN2" s="1247"/>
    </row>
    <row r="3" spans="1:40" ht="15" customHeight="1" x14ac:dyDescent="0.25">
      <c r="C3" s="1246" t="s">
        <v>299</v>
      </c>
      <c r="D3" s="1246"/>
      <c r="E3" s="1246"/>
      <c r="F3" s="1246"/>
      <c r="H3" s="1247" t="s">
        <v>333</v>
      </c>
      <c r="I3" s="1247"/>
      <c r="J3" s="1247"/>
      <c r="K3" s="1247"/>
      <c r="L3" s="1247"/>
      <c r="M3" s="288"/>
      <c r="N3" s="1247" t="s">
        <v>334</v>
      </c>
      <c r="O3" s="1247"/>
      <c r="P3" s="1247"/>
      <c r="Q3" s="1247"/>
      <c r="R3" s="1247"/>
      <c r="T3" s="1247" t="s">
        <v>317</v>
      </c>
      <c r="U3" s="1247"/>
      <c r="V3" s="1247"/>
      <c r="W3" s="1247"/>
      <c r="X3" s="1247"/>
      <c r="Z3" s="289" t="s">
        <v>310</v>
      </c>
      <c r="AA3" s="289" t="s">
        <v>335</v>
      </c>
      <c r="AB3" s="289" t="s">
        <v>336</v>
      </c>
      <c r="AC3" s="289" t="s">
        <v>337</v>
      </c>
      <c r="AD3" s="289" t="s">
        <v>338</v>
      </c>
      <c r="AE3" s="289" t="s">
        <v>291</v>
      </c>
      <c r="AH3" s="285" t="s">
        <v>938</v>
      </c>
      <c r="AI3" s="285" t="s">
        <v>939</v>
      </c>
      <c r="AJ3" s="285" t="s">
        <v>938</v>
      </c>
      <c r="AK3" s="285" t="s">
        <v>939</v>
      </c>
      <c r="AL3" s="285" t="s">
        <v>938</v>
      </c>
      <c r="AM3" s="285" t="s">
        <v>938</v>
      </c>
      <c r="AN3" s="285" t="s">
        <v>939</v>
      </c>
    </row>
    <row r="4" spans="1:40" ht="15" customHeight="1" x14ac:dyDescent="0.25">
      <c r="B4" s="285" t="s">
        <v>339</v>
      </c>
      <c r="C4" s="290" t="s">
        <v>305</v>
      </c>
      <c r="D4" s="290" t="s">
        <v>306</v>
      </c>
      <c r="E4" s="290" t="s">
        <v>307</v>
      </c>
      <c r="F4" s="290" t="s">
        <v>308</v>
      </c>
      <c r="H4" s="290" t="s">
        <v>305</v>
      </c>
      <c r="I4" s="290" t="s">
        <v>306</v>
      </c>
      <c r="J4" s="290" t="s">
        <v>307</v>
      </c>
      <c r="K4" s="290" t="s">
        <v>308</v>
      </c>
      <c r="L4" s="290" t="s">
        <v>291</v>
      </c>
      <c r="M4" s="291"/>
      <c r="N4" s="290" t="s">
        <v>305</v>
      </c>
      <c r="O4" s="290" t="s">
        <v>306</v>
      </c>
      <c r="P4" s="290" t="s">
        <v>307</v>
      </c>
      <c r="Q4" s="290" t="s">
        <v>308</v>
      </c>
      <c r="R4" s="290" t="s">
        <v>291</v>
      </c>
      <c r="T4" s="290" t="s">
        <v>305</v>
      </c>
      <c r="U4" s="290" t="s">
        <v>306</v>
      </c>
      <c r="V4" s="290" t="s">
        <v>307</v>
      </c>
      <c r="W4" s="290" t="s">
        <v>308</v>
      </c>
      <c r="X4" s="290" t="s">
        <v>291</v>
      </c>
      <c r="Y4" s="291"/>
      <c r="Z4" s="290"/>
      <c r="AA4" s="290"/>
      <c r="AB4" s="290"/>
      <c r="AC4" s="290" t="s">
        <v>327</v>
      </c>
      <c r="AD4" s="290"/>
      <c r="AE4" s="290"/>
    </row>
    <row r="5" spans="1:40" ht="15" customHeight="1" x14ac:dyDescent="0.25">
      <c r="A5" s="285">
        <v>2442</v>
      </c>
      <c r="B5" s="282" t="s">
        <v>46</v>
      </c>
      <c r="C5" s="283"/>
      <c r="D5" s="283"/>
      <c r="E5" s="283"/>
      <c r="F5" s="283"/>
      <c r="G5" s="282"/>
      <c r="H5" s="284">
        <v>0</v>
      </c>
      <c r="I5" s="284">
        <v>0</v>
      </c>
      <c r="J5" s="284">
        <v>7</v>
      </c>
      <c r="K5" s="284">
        <v>5</v>
      </c>
      <c r="L5" s="284">
        <v>12</v>
      </c>
      <c r="M5" s="282"/>
      <c r="N5" s="284">
        <v>0</v>
      </c>
      <c r="O5" s="284">
        <v>0</v>
      </c>
      <c r="P5" s="284">
        <v>0</v>
      </c>
      <c r="Q5" s="284">
        <v>0</v>
      </c>
      <c r="R5" s="284">
        <v>0</v>
      </c>
      <c r="S5" s="282"/>
      <c r="T5" s="284">
        <v>0</v>
      </c>
      <c r="U5" s="284">
        <v>0</v>
      </c>
      <c r="V5" s="284">
        <v>7</v>
      </c>
      <c r="W5" s="284">
        <v>5</v>
      </c>
      <c r="X5" s="284">
        <v>12</v>
      </c>
      <c r="Y5" s="20"/>
      <c r="Z5" s="283">
        <v>120000</v>
      </c>
      <c r="AA5" s="283">
        <v>106708.005</v>
      </c>
      <c r="AB5" s="283"/>
      <c r="AC5" s="283">
        <v>226708.005</v>
      </c>
      <c r="AD5" s="283">
        <v>0</v>
      </c>
      <c r="AE5" s="283">
        <v>226708.005</v>
      </c>
      <c r="AF5" s="284"/>
      <c r="AH5" s="286">
        <v>120000</v>
      </c>
      <c r="AJ5" s="286">
        <v>106708.005</v>
      </c>
      <c r="AM5" s="286">
        <v>0</v>
      </c>
    </row>
    <row r="6" spans="1:40" ht="15" customHeight="1" x14ac:dyDescent="0.25">
      <c r="A6" s="285">
        <v>2629</v>
      </c>
      <c r="B6" s="282" t="s">
        <v>47</v>
      </c>
      <c r="C6" s="283"/>
      <c r="D6" s="283"/>
      <c r="E6" s="283"/>
      <c r="F6" s="283"/>
      <c r="G6" s="282"/>
      <c r="H6" s="284">
        <v>2</v>
      </c>
      <c r="I6" s="284">
        <v>0</v>
      </c>
      <c r="J6" s="284">
        <v>2</v>
      </c>
      <c r="K6" s="284">
        <v>2</v>
      </c>
      <c r="L6" s="284">
        <v>6</v>
      </c>
      <c r="M6" s="282"/>
      <c r="N6" s="284">
        <v>0</v>
      </c>
      <c r="O6" s="284">
        <v>0</v>
      </c>
      <c r="P6" s="284">
        <v>0</v>
      </c>
      <c r="Q6" s="284">
        <v>0</v>
      </c>
      <c r="R6" s="284">
        <v>0</v>
      </c>
      <c r="S6" s="282"/>
      <c r="T6" s="284">
        <v>2</v>
      </c>
      <c r="U6" s="284">
        <v>0</v>
      </c>
      <c r="V6" s="284">
        <v>2</v>
      </c>
      <c r="W6" s="284">
        <v>2</v>
      </c>
      <c r="X6" s="284">
        <v>6</v>
      </c>
      <c r="Y6" s="20"/>
      <c r="Z6" s="283">
        <v>60000</v>
      </c>
      <c r="AA6" s="283">
        <v>39429.550000000003</v>
      </c>
      <c r="AB6" s="283"/>
      <c r="AC6" s="283">
        <v>99429.55</v>
      </c>
      <c r="AD6" s="283">
        <v>0</v>
      </c>
      <c r="AE6" s="294">
        <v>99429.55</v>
      </c>
      <c r="AF6" s="284"/>
      <c r="AH6" s="286">
        <v>60000</v>
      </c>
      <c r="AJ6" s="286">
        <v>39429.550000000003</v>
      </c>
      <c r="AM6" s="286">
        <v>0</v>
      </c>
    </row>
    <row r="7" spans="1:40" ht="15" customHeight="1" x14ac:dyDescent="0.25">
      <c r="A7" s="285">
        <v>4177</v>
      </c>
      <c r="B7" s="18" t="s">
        <v>785</v>
      </c>
      <c r="C7" s="283"/>
      <c r="D7" s="283"/>
      <c r="E7" s="283"/>
      <c r="F7" s="283"/>
      <c r="G7" s="282"/>
      <c r="H7" s="283">
        <v>0</v>
      </c>
      <c r="I7" s="283">
        <v>9</v>
      </c>
      <c r="J7" s="284">
        <v>18</v>
      </c>
      <c r="K7" s="284">
        <v>16</v>
      </c>
      <c r="L7" s="284">
        <v>43</v>
      </c>
      <c r="M7" s="282"/>
      <c r="N7" s="283">
        <v>0</v>
      </c>
      <c r="O7" s="283">
        <v>0</v>
      </c>
      <c r="P7" s="284">
        <v>2</v>
      </c>
      <c r="Q7" s="284">
        <v>0</v>
      </c>
      <c r="R7" s="284">
        <v>2</v>
      </c>
      <c r="S7" s="282"/>
      <c r="T7" s="284">
        <v>0</v>
      </c>
      <c r="U7" s="284">
        <v>9</v>
      </c>
      <c r="V7" s="284">
        <v>20</v>
      </c>
      <c r="W7" s="284">
        <v>16</v>
      </c>
      <c r="X7" s="284">
        <v>45</v>
      </c>
      <c r="Y7" s="20"/>
      <c r="Z7" s="283">
        <v>450000</v>
      </c>
      <c r="AA7" s="283">
        <v>389322.23499999999</v>
      </c>
      <c r="AB7" s="283">
        <v>0</v>
      </c>
      <c r="AC7" s="283">
        <v>839322.23499999999</v>
      </c>
      <c r="AD7" s="283">
        <v>16284.02</v>
      </c>
      <c r="AE7" s="283">
        <v>855606.255</v>
      </c>
      <c r="AF7" s="284"/>
      <c r="AH7" s="286">
        <v>450000</v>
      </c>
      <c r="AJ7" s="286">
        <v>389322.23499999999</v>
      </c>
      <c r="AM7" s="286">
        <v>16284.02</v>
      </c>
    </row>
    <row r="8" spans="1:40" ht="15" customHeight="1" x14ac:dyDescent="0.25">
      <c r="A8" s="285">
        <v>2433</v>
      </c>
      <c r="B8" s="282" t="s">
        <v>56</v>
      </c>
      <c r="C8" s="283"/>
      <c r="D8" s="283"/>
      <c r="E8" s="283"/>
      <c r="F8" s="283"/>
      <c r="G8" s="282"/>
      <c r="H8" s="284">
        <v>0</v>
      </c>
      <c r="I8" s="284">
        <v>6</v>
      </c>
      <c r="J8" s="284">
        <v>11</v>
      </c>
      <c r="K8" s="284">
        <v>6</v>
      </c>
      <c r="L8" s="284">
        <v>23</v>
      </c>
      <c r="M8" s="282"/>
      <c r="N8" s="284">
        <v>0</v>
      </c>
      <c r="O8" s="284">
        <v>0</v>
      </c>
      <c r="P8" s="284">
        <v>0</v>
      </c>
      <c r="Q8" s="284">
        <v>0</v>
      </c>
      <c r="R8" s="284">
        <v>0</v>
      </c>
      <c r="S8" s="282"/>
      <c r="T8" s="284">
        <v>0</v>
      </c>
      <c r="U8" s="284">
        <v>6</v>
      </c>
      <c r="V8" s="284">
        <v>11</v>
      </c>
      <c r="W8" s="284">
        <v>6</v>
      </c>
      <c r="X8" s="284">
        <v>23</v>
      </c>
      <c r="Y8" s="20"/>
      <c r="Z8" s="283">
        <v>230000</v>
      </c>
      <c r="AA8" s="283">
        <v>169062.44500000001</v>
      </c>
      <c r="AB8" s="283"/>
      <c r="AC8" s="283">
        <v>399062.44500000001</v>
      </c>
      <c r="AD8" s="283">
        <v>0</v>
      </c>
      <c r="AE8" s="283">
        <v>399062.44500000001</v>
      </c>
      <c r="AF8" s="284"/>
      <c r="AH8" s="286">
        <v>230000</v>
      </c>
      <c r="AJ8" s="286">
        <v>169062.44500000001</v>
      </c>
      <c r="AM8" s="286">
        <v>0</v>
      </c>
    </row>
    <row r="9" spans="1:40" ht="15" customHeight="1" x14ac:dyDescent="0.25">
      <c r="A9" s="285">
        <v>2432</v>
      </c>
      <c r="B9" s="282" t="s">
        <v>57</v>
      </c>
      <c r="C9" s="283"/>
      <c r="D9" s="283"/>
      <c r="E9" s="283"/>
      <c r="F9" s="283"/>
      <c r="G9" s="282"/>
      <c r="H9" s="284">
        <v>0</v>
      </c>
      <c r="I9" s="284">
        <v>0</v>
      </c>
      <c r="J9" s="284">
        <v>33</v>
      </c>
      <c r="K9" s="284">
        <v>0</v>
      </c>
      <c r="L9" s="284">
        <v>33</v>
      </c>
      <c r="M9" s="282"/>
      <c r="N9" s="284">
        <v>0</v>
      </c>
      <c r="O9" s="284">
        <v>0</v>
      </c>
      <c r="P9" s="284">
        <v>1</v>
      </c>
      <c r="Q9" s="284">
        <v>0</v>
      </c>
      <c r="R9" s="284">
        <v>1</v>
      </c>
      <c r="S9" s="282"/>
      <c r="T9" s="284">
        <v>0</v>
      </c>
      <c r="U9" s="284">
        <v>0</v>
      </c>
      <c r="V9" s="284">
        <v>34</v>
      </c>
      <c r="W9" s="284">
        <v>0</v>
      </c>
      <c r="X9" s="284">
        <v>34</v>
      </c>
      <c r="Y9" s="20"/>
      <c r="Z9" s="283">
        <v>340000</v>
      </c>
      <c r="AA9" s="283">
        <v>382421.32500000001</v>
      </c>
      <c r="AB9" s="283">
        <v>0</v>
      </c>
      <c r="AC9" s="283">
        <v>722421.32499999995</v>
      </c>
      <c r="AD9" s="283">
        <v>11588.525</v>
      </c>
      <c r="AE9" s="294">
        <v>734009.85</v>
      </c>
      <c r="AF9" s="284"/>
      <c r="AH9" s="286">
        <v>340000</v>
      </c>
      <c r="AJ9" s="286">
        <v>382421.32500000001</v>
      </c>
      <c r="AM9" s="286">
        <v>11588.525</v>
      </c>
    </row>
    <row r="10" spans="1:40" ht="15" customHeight="1" x14ac:dyDescent="0.25">
      <c r="A10" s="285">
        <v>4181</v>
      </c>
      <c r="B10" s="18" t="s">
        <v>783</v>
      </c>
      <c r="C10" s="283"/>
      <c r="D10" s="283"/>
      <c r="E10" s="283"/>
      <c r="F10" s="283"/>
      <c r="G10" s="282"/>
      <c r="H10" s="283">
        <v>8</v>
      </c>
      <c r="I10" s="283">
        <v>0</v>
      </c>
      <c r="J10" s="283">
        <v>0</v>
      </c>
      <c r="K10" s="283">
        <v>0</v>
      </c>
      <c r="L10" s="284">
        <v>8</v>
      </c>
      <c r="M10" s="282"/>
      <c r="N10" s="283">
        <v>0</v>
      </c>
      <c r="O10" s="283">
        <v>0</v>
      </c>
      <c r="P10" s="283">
        <v>0</v>
      </c>
      <c r="Q10" s="283">
        <v>0</v>
      </c>
      <c r="R10" s="284">
        <v>0</v>
      </c>
      <c r="S10" s="282"/>
      <c r="T10" s="284">
        <v>8</v>
      </c>
      <c r="U10" s="284">
        <v>0</v>
      </c>
      <c r="V10" s="284">
        <v>0</v>
      </c>
      <c r="W10" s="284">
        <v>0</v>
      </c>
      <c r="X10" s="284">
        <v>8</v>
      </c>
      <c r="Y10" s="20"/>
      <c r="Z10" s="283">
        <v>80000</v>
      </c>
      <c r="AA10" s="283">
        <v>18084.599999999999</v>
      </c>
      <c r="AB10" s="283">
        <v>0</v>
      </c>
      <c r="AC10" s="283">
        <v>98084.6</v>
      </c>
      <c r="AD10" s="283">
        <v>0</v>
      </c>
      <c r="AE10" s="283">
        <v>98084.6</v>
      </c>
      <c r="AF10" s="284"/>
      <c r="AH10" s="286">
        <v>80000</v>
      </c>
      <c r="AJ10" s="286">
        <v>18084.599999999999</v>
      </c>
      <c r="AM10" s="286">
        <v>0</v>
      </c>
    </row>
    <row r="11" spans="1:40" ht="15" customHeight="1" x14ac:dyDescent="0.25">
      <c r="A11" s="285">
        <v>4181</v>
      </c>
      <c r="B11" s="18" t="s">
        <v>784</v>
      </c>
      <c r="C11" s="283"/>
      <c r="D11" s="283"/>
      <c r="E11" s="283"/>
      <c r="F11" s="283"/>
      <c r="G11" s="282"/>
      <c r="H11" s="283">
        <v>8</v>
      </c>
      <c r="I11" s="283">
        <v>0</v>
      </c>
      <c r="J11" s="283">
        <v>0</v>
      </c>
      <c r="K11" s="283">
        <v>0</v>
      </c>
      <c r="L11" s="284">
        <v>8</v>
      </c>
      <c r="M11" s="282"/>
      <c r="N11" s="283">
        <v>0</v>
      </c>
      <c r="O11" s="283">
        <v>0</v>
      </c>
      <c r="P11" s="283">
        <v>0</v>
      </c>
      <c r="Q11" s="283">
        <v>0</v>
      </c>
      <c r="R11" s="284">
        <v>0</v>
      </c>
      <c r="S11" s="282"/>
      <c r="T11" s="284">
        <v>8</v>
      </c>
      <c r="U11" s="284">
        <v>0</v>
      </c>
      <c r="V11" s="284">
        <v>0</v>
      </c>
      <c r="W11" s="284">
        <v>0</v>
      </c>
      <c r="X11" s="284">
        <v>8</v>
      </c>
      <c r="Y11" s="20"/>
      <c r="Z11" s="283">
        <v>80000</v>
      </c>
      <c r="AA11" s="283">
        <v>21733.040000000001</v>
      </c>
      <c r="AB11" s="283">
        <v>0</v>
      </c>
      <c r="AC11" s="283">
        <v>101733.04000000001</v>
      </c>
      <c r="AD11" s="283">
        <v>0</v>
      </c>
      <c r="AE11" s="283">
        <v>101733.04000000001</v>
      </c>
      <c r="AF11" s="284"/>
      <c r="AH11" s="286">
        <v>80000</v>
      </c>
      <c r="AJ11" s="286">
        <v>21733.040000000001</v>
      </c>
      <c r="AM11" s="286">
        <v>0</v>
      </c>
    </row>
    <row r="12" spans="1:40" ht="15" customHeight="1" x14ac:dyDescent="0.25">
      <c r="A12" s="285">
        <v>2436</v>
      </c>
      <c r="B12" s="282" t="s">
        <v>78</v>
      </c>
      <c r="C12" s="283"/>
      <c r="D12" s="283"/>
      <c r="E12" s="283"/>
      <c r="F12" s="283"/>
      <c r="G12" s="282"/>
      <c r="H12" s="283">
        <v>0</v>
      </c>
      <c r="I12" s="283">
        <v>0</v>
      </c>
      <c r="J12" s="283">
        <v>0</v>
      </c>
      <c r="K12" s="283">
        <v>1</v>
      </c>
      <c r="L12" s="284">
        <v>1</v>
      </c>
      <c r="M12" s="282"/>
      <c r="N12" s="283">
        <v>0</v>
      </c>
      <c r="O12" s="283">
        <v>0</v>
      </c>
      <c r="P12" s="283">
        <v>0</v>
      </c>
      <c r="Q12" s="283">
        <v>3</v>
      </c>
      <c r="R12" s="284">
        <v>3</v>
      </c>
      <c r="S12" s="282"/>
      <c r="T12" s="284">
        <v>0</v>
      </c>
      <c r="U12" s="284">
        <v>0</v>
      </c>
      <c r="V12" s="284">
        <v>0</v>
      </c>
      <c r="W12" s="284">
        <v>4</v>
      </c>
      <c r="X12" s="284">
        <v>4</v>
      </c>
      <c r="Y12" s="20"/>
      <c r="Z12" s="283">
        <v>40000</v>
      </c>
      <c r="AA12" s="283">
        <v>22980.05</v>
      </c>
      <c r="AB12" s="283">
        <v>0</v>
      </c>
      <c r="AC12" s="283">
        <v>62980.05</v>
      </c>
      <c r="AD12" s="283">
        <v>68940.149999999994</v>
      </c>
      <c r="AE12" s="283">
        <v>131920.20000000001</v>
      </c>
      <c r="AF12" s="284"/>
      <c r="AH12" s="286">
        <v>40000</v>
      </c>
      <c r="AJ12" s="286">
        <v>22980.05</v>
      </c>
      <c r="AM12" s="286">
        <v>68940.149999999994</v>
      </c>
    </row>
    <row r="13" spans="1:40" ht="15" customHeight="1" x14ac:dyDescent="0.25">
      <c r="A13" s="285">
        <v>2000</v>
      </c>
      <c r="B13" s="282" t="s">
        <v>93</v>
      </c>
      <c r="C13" s="283"/>
      <c r="D13" s="283"/>
      <c r="E13" s="283"/>
      <c r="F13" s="283"/>
      <c r="G13" s="282"/>
      <c r="H13" s="283">
        <v>0</v>
      </c>
      <c r="I13" s="283">
        <v>10</v>
      </c>
      <c r="J13" s="283">
        <v>10</v>
      </c>
      <c r="K13" s="283">
        <v>6</v>
      </c>
      <c r="L13" s="284">
        <v>26</v>
      </c>
      <c r="M13" s="282"/>
      <c r="N13" s="283">
        <v>0</v>
      </c>
      <c r="O13" s="283">
        <v>0</v>
      </c>
      <c r="P13" s="283">
        <v>0</v>
      </c>
      <c r="Q13" s="283">
        <v>0</v>
      </c>
      <c r="R13" s="284">
        <v>0</v>
      </c>
      <c r="S13" s="282"/>
      <c r="T13" s="284">
        <v>0</v>
      </c>
      <c r="U13" s="284">
        <v>10</v>
      </c>
      <c r="V13" s="284">
        <v>10</v>
      </c>
      <c r="W13" s="284">
        <v>6</v>
      </c>
      <c r="X13" s="284">
        <v>26</v>
      </c>
      <c r="Y13" s="20"/>
      <c r="Z13" s="283">
        <v>260000</v>
      </c>
      <c r="AA13" s="283">
        <v>177022.23</v>
      </c>
      <c r="AB13" s="283">
        <v>0</v>
      </c>
      <c r="AC13" s="283">
        <v>437022.23</v>
      </c>
      <c r="AD13" s="283">
        <v>0</v>
      </c>
      <c r="AE13" s="283">
        <v>437022.23</v>
      </c>
      <c r="AF13" s="284"/>
      <c r="AH13" s="286">
        <v>260000</v>
      </c>
      <c r="AJ13" s="286">
        <v>177022.23</v>
      </c>
      <c r="AM13" s="286">
        <v>0</v>
      </c>
    </row>
    <row r="14" spans="1:40" ht="15" customHeight="1" x14ac:dyDescent="0.25">
      <c r="A14" s="285">
        <v>4607</v>
      </c>
      <c r="B14" s="18" t="s">
        <v>786</v>
      </c>
      <c r="C14" s="283"/>
      <c r="D14" s="283"/>
      <c r="E14" s="283"/>
      <c r="F14" s="283"/>
      <c r="G14" s="282"/>
      <c r="H14" s="283">
        <v>0</v>
      </c>
      <c r="I14" s="283">
        <v>0</v>
      </c>
      <c r="J14" s="283">
        <v>0</v>
      </c>
      <c r="K14" s="283">
        <v>19</v>
      </c>
      <c r="L14" s="284">
        <v>19</v>
      </c>
      <c r="M14" s="282"/>
      <c r="N14" s="283">
        <v>0</v>
      </c>
      <c r="O14" s="283">
        <v>0</v>
      </c>
      <c r="P14" s="283">
        <v>0</v>
      </c>
      <c r="Q14" s="283">
        <v>1</v>
      </c>
      <c r="R14" s="284">
        <v>1</v>
      </c>
      <c r="S14" s="282"/>
      <c r="T14" s="284">
        <v>0</v>
      </c>
      <c r="U14" s="284">
        <v>0</v>
      </c>
      <c r="V14" s="284">
        <v>0</v>
      </c>
      <c r="W14" s="284">
        <v>20</v>
      </c>
      <c r="X14" s="284">
        <v>20</v>
      </c>
      <c r="Y14" s="20"/>
      <c r="Z14" s="283">
        <v>200000</v>
      </c>
      <c r="AA14" s="283">
        <v>245503.37</v>
      </c>
      <c r="AB14" s="283">
        <v>25000</v>
      </c>
      <c r="AC14" s="283">
        <v>470503.37</v>
      </c>
      <c r="AD14" s="283">
        <v>12921.23</v>
      </c>
      <c r="AE14" s="283">
        <v>483424.6</v>
      </c>
      <c r="AF14" s="284"/>
      <c r="AH14" s="286">
        <v>200000</v>
      </c>
      <c r="AJ14" s="286">
        <v>245503.37</v>
      </c>
      <c r="AL14" s="286">
        <v>25000</v>
      </c>
      <c r="AM14" s="286">
        <v>12921.23</v>
      </c>
    </row>
    <row r="15" spans="1:40" ht="15" customHeight="1" x14ac:dyDescent="0.25">
      <c r="A15" s="285">
        <v>2466</v>
      </c>
      <c r="B15" s="282" t="s">
        <v>340</v>
      </c>
      <c r="C15" s="283"/>
      <c r="D15" s="283"/>
      <c r="E15" s="283"/>
      <c r="F15" s="283"/>
      <c r="G15" s="282"/>
      <c r="H15" s="283">
        <v>0</v>
      </c>
      <c r="I15" s="283">
        <v>0</v>
      </c>
      <c r="J15" s="283">
        <v>0</v>
      </c>
      <c r="K15" s="283">
        <v>6</v>
      </c>
      <c r="L15" s="284">
        <v>6</v>
      </c>
      <c r="M15" s="282"/>
      <c r="N15" s="283">
        <v>0</v>
      </c>
      <c r="O15" s="283">
        <v>0</v>
      </c>
      <c r="P15" s="283">
        <v>0</v>
      </c>
      <c r="Q15" s="283">
        <v>0</v>
      </c>
      <c r="R15" s="284">
        <v>0</v>
      </c>
      <c r="S15" s="282"/>
      <c r="T15" s="284">
        <v>0</v>
      </c>
      <c r="U15" s="284">
        <v>0</v>
      </c>
      <c r="V15" s="284">
        <v>0</v>
      </c>
      <c r="W15" s="284">
        <v>6</v>
      </c>
      <c r="X15" s="284">
        <v>6</v>
      </c>
      <c r="Y15" s="20"/>
      <c r="Z15" s="283">
        <v>60000</v>
      </c>
      <c r="AA15" s="283">
        <v>68485.08</v>
      </c>
      <c r="AB15" s="283">
        <v>0</v>
      </c>
      <c r="AC15" s="283">
        <v>128485.08</v>
      </c>
      <c r="AD15" s="283">
        <v>0</v>
      </c>
      <c r="AE15" s="283">
        <v>128485.08</v>
      </c>
      <c r="AF15" s="284"/>
      <c r="AH15" s="286">
        <v>60000</v>
      </c>
      <c r="AJ15" s="286">
        <v>68485.08</v>
      </c>
      <c r="AM15" s="286">
        <v>0</v>
      </c>
    </row>
    <row r="16" spans="1:40" ht="15" customHeight="1" x14ac:dyDescent="0.25">
      <c r="A16" s="285">
        <v>5414</v>
      </c>
      <c r="B16" s="18" t="s">
        <v>782</v>
      </c>
      <c r="C16" s="283"/>
      <c r="D16" s="283"/>
      <c r="E16" s="283"/>
      <c r="F16" s="283"/>
      <c r="G16" s="282"/>
      <c r="H16" s="283">
        <v>0</v>
      </c>
      <c r="I16" s="283">
        <v>13</v>
      </c>
      <c r="J16" s="283">
        <v>0</v>
      </c>
      <c r="K16" s="283">
        <v>0</v>
      </c>
      <c r="L16" s="284">
        <v>13</v>
      </c>
      <c r="M16" s="282"/>
      <c r="N16" s="283">
        <v>0</v>
      </c>
      <c r="O16" s="283">
        <v>1</v>
      </c>
      <c r="P16" s="283">
        <v>0</v>
      </c>
      <c r="Q16" s="283">
        <v>0</v>
      </c>
      <c r="R16" s="284">
        <v>1</v>
      </c>
      <c r="S16" s="282"/>
      <c r="T16" s="284">
        <v>0</v>
      </c>
      <c r="U16" s="284">
        <v>14</v>
      </c>
      <c r="V16" s="284">
        <v>0</v>
      </c>
      <c r="W16" s="284">
        <v>0</v>
      </c>
      <c r="X16" s="284">
        <v>14</v>
      </c>
      <c r="Y16" s="20"/>
      <c r="Z16" s="283">
        <v>140000</v>
      </c>
      <c r="AA16" s="283">
        <v>68506.75</v>
      </c>
      <c r="AB16" s="283">
        <v>0</v>
      </c>
      <c r="AC16" s="283">
        <v>208506.75</v>
      </c>
      <c r="AD16" s="283">
        <v>5269.75</v>
      </c>
      <c r="AE16" s="283">
        <v>213776.5</v>
      </c>
      <c r="AF16" s="284"/>
      <c r="AH16" s="286">
        <v>140000</v>
      </c>
      <c r="AJ16" s="286">
        <v>68506.75</v>
      </c>
      <c r="AM16" s="286">
        <v>5269.75</v>
      </c>
    </row>
    <row r="17" spans="1:40" ht="15" customHeight="1" x14ac:dyDescent="0.25">
      <c r="B17" s="284"/>
      <c r="C17" s="283"/>
      <c r="D17" s="283"/>
      <c r="E17" s="283"/>
      <c r="F17" s="283"/>
      <c r="G17" s="282"/>
      <c r="H17" s="284"/>
      <c r="I17" s="284"/>
      <c r="J17" s="284"/>
      <c r="K17" s="284"/>
      <c r="L17" s="284"/>
      <c r="M17" s="282"/>
      <c r="N17" s="284"/>
      <c r="O17" s="284"/>
      <c r="P17" s="284"/>
      <c r="Q17" s="284"/>
      <c r="R17" s="284"/>
      <c r="S17" s="282"/>
      <c r="T17" s="284"/>
      <c r="U17" s="284"/>
      <c r="V17" s="284"/>
      <c r="W17" s="284"/>
      <c r="X17" s="284"/>
      <c r="Y17" s="20"/>
      <c r="Z17" s="283"/>
      <c r="AA17" s="283"/>
      <c r="AB17" s="283"/>
      <c r="AC17" s="283"/>
      <c r="AD17" s="283"/>
      <c r="AE17" s="283"/>
      <c r="AF17" s="284"/>
      <c r="AH17" s="286">
        <v>0</v>
      </c>
      <c r="AJ17" s="286">
        <v>0</v>
      </c>
      <c r="AM17" s="286">
        <v>0</v>
      </c>
    </row>
    <row r="18" spans="1:40" ht="15" customHeight="1" x14ac:dyDescent="0.25">
      <c r="B18" s="284" t="s">
        <v>341</v>
      </c>
      <c r="C18" s="283"/>
      <c r="D18" s="283"/>
      <c r="E18" s="283"/>
      <c r="F18" s="283"/>
      <c r="G18" s="282"/>
      <c r="H18" s="284"/>
      <c r="I18" s="284"/>
      <c r="J18" s="284"/>
      <c r="K18" s="284"/>
      <c r="L18" s="284"/>
      <c r="M18" s="282"/>
      <c r="N18" s="284"/>
      <c r="O18" s="284"/>
      <c r="P18" s="284"/>
      <c r="Q18" s="284"/>
      <c r="R18" s="284"/>
      <c r="S18" s="282"/>
      <c r="T18" s="284"/>
      <c r="U18" s="284"/>
      <c r="V18" s="284"/>
      <c r="W18" s="284"/>
      <c r="X18" s="284"/>
      <c r="Y18" s="282"/>
      <c r="Z18" s="283"/>
      <c r="AA18" s="283"/>
      <c r="AB18" s="283"/>
      <c r="AC18" s="283"/>
      <c r="AD18" s="283"/>
      <c r="AE18" s="283"/>
      <c r="AF18" s="284"/>
      <c r="AH18" s="286">
        <v>0</v>
      </c>
      <c r="AJ18" s="286">
        <v>0</v>
      </c>
      <c r="AM18" s="286">
        <v>0</v>
      </c>
    </row>
    <row r="19" spans="1:40" ht="15" customHeight="1" x14ac:dyDescent="0.25">
      <c r="A19" s="285">
        <v>2405</v>
      </c>
      <c r="B19" s="282" t="s">
        <v>342</v>
      </c>
      <c r="C19" s="283"/>
      <c r="D19" s="283"/>
      <c r="E19" s="283"/>
      <c r="F19" s="283"/>
      <c r="G19" s="282"/>
      <c r="H19" s="283">
        <v>0</v>
      </c>
      <c r="I19" s="283">
        <v>0</v>
      </c>
      <c r="J19" s="283">
        <v>3</v>
      </c>
      <c r="K19" s="283">
        <v>3</v>
      </c>
      <c r="L19" s="284">
        <v>6</v>
      </c>
      <c r="M19" s="282"/>
      <c r="N19" s="283">
        <v>0</v>
      </c>
      <c r="O19" s="283">
        <v>0</v>
      </c>
      <c r="P19" s="283">
        <v>0</v>
      </c>
      <c r="Q19" s="283">
        <v>0</v>
      </c>
      <c r="R19" s="284">
        <v>0</v>
      </c>
      <c r="S19" s="282"/>
      <c r="T19" s="284">
        <v>0</v>
      </c>
      <c r="U19" s="284">
        <v>0</v>
      </c>
      <c r="V19" s="284">
        <v>3</v>
      </c>
      <c r="W19" s="284">
        <v>3</v>
      </c>
      <c r="X19" s="284">
        <v>6</v>
      </c>
      <c r="Y19" s="282"/>
      <c r="Z19" s="283">
        <v>60000</v>
      </c>
      <c r="AA19" s="283">
        <v>55515.585000000006</v>
      </c>
      <c r="AB19" s="283">
        <v>0</v>
      </c>
      <c r="AC19" s="283">
        <v>115515.58500000001</v>
      </c>
      <c r="AD19" s="283">
        <v>0</v>
      </c>
      <c r="AE19" s="283">
        <v>115515.58500000001</v>
      </c>
      <c r="AF19" s="284"/>
      <c r="AH19" s="286">
        <v>60000</v>
      </c>
      <c r="AJ19" s="286">
        <v>55515.585000000006</v>
      </c>
      <c r="AM19" s="286">
        <v>0</v>
      </c>
    </row>
    <row r="20" spans="1:40" ht="15" customHeight="1" x14ac:dyDescent="0.25">
      <c r="A20" s="285">
        <v>2434</v>
      </c>
      <c r="B20" s="282" t="s">
        <v>343</v>
      </c>
      <c r="C20" s="283"/>
      <c r="D20" s="283"/>
      <c r="E20" s="283"/>
      <c r="F20" s="283"/>
      <c r="G20" s="282"/>
      <c r="H20" s="283">
        <v>0</v>
      </c>
      <c r="I20" s="283">
        <v>0</v>
      </c>
      <c r="J20" s="283">
        <v>9</v>
      </c>
      <c r="K20" s="283">
        <v>3</v>
      </c>
      <c r="L20" s="284">
        <v>12</v>
      </c>
      <c r="M20" s="282"/>
      <c r="N20" s="283">
        <v>0</v>
      </c>
      <c r="O20" s="283">
        <v>0</v>
      </c>
      <c r="P20" s="283">
        <v>0</v>
      </c>
      <c r="Q20" s="283">
        <v>0</v>
      </c>
      <c r="R20" s="284">
        <v>0</v>
      </c>
      <c r="S20" s="282"/>
      <c r="T20" s="284">
        <v>0</v>
      </c>
      <c r="U20" s="284">
        <v>0</v>
      </c>
      <c r="V20" s="284">
        <v>9</v>
      </c>
      <c r="W20" s="284">
        <v>3</v>
      </c>
      <c r="X20" s="284">
        <v>12</v>
      </c>
      <c r="Y20" s="282"/>
      <c r="Z20" s="283">
        <v>120000</v>
      </c>
      <c r="AA20" s="283">
        <v>98061.675000000003</v>
      </c>
      <c r="AB20" s="283">
        <v>0</v>
      </c>
      <c r="AC20" s="283">
        <v>218061.67499999999</v>
      </c>
      <c r="AD20" s="283">
        <v>0</v>
      </c>
      <c r="AE20" s="283">
        <v>218061.67499999999</v>
      </c>
      <c r="AF20" s="284"/>
      <c r="AH20" s="286">
        <v>120000</v>
      </c>
      <c r="AJ20" s="286">
        <v>98061.675000000003</v>
      </c>
      <c r="AM20" s="286">
        <v>0</v>
      </c>
    </row>
    <row r="21" spans="1:40" ht="15" customHeight="1" x14ac:dyDescent="0.25">
      <c r="B21" s="284"/>
      <c r="C21" s="283"/>
      <c r="D21" s="283"/>
      <c r="E21" s="283"/>
      <c r="F21" s="283"/>
      <c r="G21" s="282"/>
      <c r="H21" s="283"/>
      <c r="I21" s="283"/>
      <c r="J21" s="283"/>
      <c r="K21" s="283"/>
      <c r="L21" s="284"/>
      <c r="M21" s="282"/>
      <c r="N21" s="283"/>
      <c r="O21" s="283"/>
      <c r="P21" s="283"/>
      <c r="Q21" s="283"/>
      <c r="R21" s="284"/>
      <c r="S21" s="282"/>
      <c r="T21" s="284"/>
      <c r="U21" s="284"/>
      <c r="V21" s="284"/>
      <c r="W21" s="284"/>
      <c r="X21" s="284"/>
      <c r="Y21" s="282"/>
      <c r="Z21" s="283"/>
      <c r="AA21" s="283"/>
      <c r="AB21" s="283"/>
      <c r="AC21" s="283"/>
      <c r="AD21" s="283"/>
      <c r="AE21" s="283"/>
      <c r="AF21" s="284"/>
      <c r="AH21" s="286">
        <v>0</v>
      </c>
      <c r="AJ21" s="286">
        <v>0</v>
      </c>
      <c r="AM21" s="286">
        <v>0</v>
      </c>
    </row>
    <row r="22" spans="1:40" ht="15" customHeight="1" thickBot="1" x14ac:dyDescent="0.3">
      <c r="B22" s="284" t="s">
        <v>344</v>
      </c>
      <c r="C22" s="283"/>
      <c r="D22" s="283"/>
      <c r="E22" s="283"/>
      <c r="F22" s="283"/>
      <c r="G22" s="282"/>
      <c r="H22" s="292">
        <v>18</v>
      </c>
      <c r="I22" s="292">
        <v>38</v>
      </c>
      <c r="J22" s="292">
        <v>93</v>
      </c>
      <c r="K22" s="292">
        <v>67</v>
      </c>
      <c r="L22" s="292">
        <v>216</v>
      </c>
      <c r="M22" s="282"/>
      <c r="N22" s="292">
        <v>0</v>
      </c>
      <c r="O22" s="292">
        <v>1</v>
      </c>
      <c r="P22" s="292">
        <v>3</v>
      </c>
      <c r="Q22" s="292">
        <v>4</v>
      </c>
      <c r="R22" s="292">
        <v>8</v>
      </c>
      <c r="S22" s="282"/>
      <c r="T22" s="292">
        <v>18</v>
      </c>
      <c r="U22" s="292">
        <v>39</v>
      </c>
      <c r="V22" s="292">
        <v>96</v>
      </c>
      <c r="W22" s="292">
        <v>71</v>
      </c>
      <c r="X22" s="292">
        <v>224</v>
      </c>
      <c r="Y22" s="282"/>
      <c r="Z22" s="293">
        <v>2240000</v>
      </c>
      <c r="AA22" s="293">
        <v>1862835.9400000002</v>
      </c>
      <c r="AB22" s="293">
        <v>25000</v>
      </c>
      <c r="AC22" s="293">
        <v>4127835.94</v>
      </c>
      <c r="AD22" s="293">
        <v>115003.67499999999</v>
      </c>
      <c r="AE22" s="293">
        <v>4242839.6150000002</v>
      </c>
      <c r="AF22" s="284"/>
      <c r="AH22" s="794">
        <v>2240000</v>
      </c>
      <c r="AI22" s="293">
        <v>0</v>
      </c>
      <c r="AJ22" s="293">
        <v>1862835.9400000002</v>
      </c>
      <c r="AK22" s="293">
        <v>0</v>
      </c>
      <c r="AL22" s="293">
        <v>25000</v>
      </c>
      <c r="AM22" s="293">
        <v>115003.67499999999</v>
      </c>
      <c r="AN22" s="293">
        <v>0</v>
      </c>
    </row>
    <row r="23" spans="1:40" ht="15" customHeight="1" x14ac:dyDescent="0.25">
      <c r="B23" s="284"/>
      <c r="C23" s="283"/>
      <c r="D23" s="283"/>
      <c r="E23" s="283"/>
      <c r="F23" s="283"/>
      <c r="G23" s="282"/>
      <c r="H23" s="282"/>
      <c r="I23" s="282"/>
      <c r="J23" s="282"/>
      <c r="K23" s="282"/>
      <c r="L23" s="282"/>
      <c r="M23" s="282"/>
      <c r="N23" s="282"/>
      <c r="O23" s="282"/>
      <c r="P23" s="282"/>
      <c r="Q23" s="282"/>
      <c r="R23" s="282"/>
      <c r="S23" s="282"/>
      <c r="T23" s="282"/>
      <c r="U23" s="282"/>
      <c r="V23" s="282"/>
      <c r="W23" s="284"/>
      <c r="X23" s="282"/>
      <c r="Y23" s="282"/>
      <c r="Z23" s="283"/>
      <c r="AA23" s="283"/>
      <c r="AB23" s="283"/>
      <c r="AC23" s="283"/>
      <c r="AD23" s="283"/>
      <c r="AE23" s="283"/>
      <c r="AF23" s="284"/>
    </row>
    <row r="24" spans="1:40" ht="15" customHeight="1" x14ac:dyDescent="0.25">
      <c r="B24" s="280" t="s">
        <v>345</v>
      </c>
      <c r="C24" s="290" t="s">
        <v>305</v>
      </c>
      <c r="D24" s="290" t="s">
        <v>306</v>
      </c>
      <c r="E24" s="290" t="s">
        <v>307</v>
      </c>
      <c r="F24" s="290" t="s">
        <v>308</v>
      </c>
      <c r="H24" s="290" t="s">
        <v>305</v>
      </c>
      <c r="I24" s="290" t="s">
        <v>306</v>
      </c>
      <c r="J24" s="290" t="s">
        <v>307</v>
      </c>
      <c r="K24" s="290" t="s">
        <v>308</v>
      </c>
      <c r="L24" s="290" t="s">
        <v>291</v>
      </c>
      <c r="M24" s="291"/>
      <c r="N24" s="290" t="s">
        <v>305</v>
      </c>
      <c r="O24" s="290" t="s">
        <v>306</v>
      </c>
      <c r="P24" s="290" t="s">
        <v>307</v>
      </c>
      <c r="Q24" s="290" t="s">
        <v>308</v>
      </c>
      <c r="R24" s="290" t="s">
        <v>291</v>
      </c>
      <c r="T24" s="290" t="s">
        <v>305</v>
      </c>
      <c r="U24" s="290" t="s">
        <v>306</v>
      </c>
      <c r="V24" s="290" t="s">
        <v>307</v>
      </c>
      <c r="W24" s="290" t="s">
        <v>308</v>
      </c>
      <c r="X24" s="290" t="s">
        <v>291</v>
      </c>
      <c r="Y24" s="291"/>
      <c r="Z24" s="290"/>
      <c r="AA24" s="290"/>
      <c r="AB24" s="290"/>
      <c r="AC24" s="290"/>
      <c r="AD24" s="290"/>
      <c r="AE24" s="290"/>
    </row>
    <row r="25" spans="1:40" ht="15" customHeight="1" x14ac:dyDescent="0.25">
      <c r="A25" s="285">
        <v>4181</v>
      </c>
      <c r="B25" s="18" t="s">
        <v>784</v>
      </c>
      <c r="C25" s="283"/>
      <c r="D25" s="283"/>
      <c r="E25" s="283"/>
      <c r="F25" s="283"/>
      <c r="G25" s="282"/>
      <c r="H25" s="283">
        <v>4</v>
      </c>
      <c r="I25" s="283">
        <v>0</v>
      </c>
      <c r="J25" s="283">
        <v>0</v>
      </c>
      <c r="K25" s="283">
        <v>0</v>
      </c>
      <c r="L25" s="284">
        <v>4</v>
      </c>
      <c r="M25" s="282"/>
      <c r="N25" s="283">
        <v>0</v>
      </c>
      <c r="O25" s="283">
        <v>0</v>
      </c>
      <c r="P25" s="283">
        <v>0</v>
      </c>
      <c r="Q25" s="283">
        <v>0</v>
      </c>
      <c r="R25" s="284">
        <v>0</v>
      </c>
      <c r="S25" s="282"/>
      <c r="T25" s="284">
        <v>4</v>
      </c>
      <c r="U25" s="284">
        <v>0</v>
      </c>
      <c r="V25" s="284">
        <v>0</v>
      </c>
      <c r="W25" s="284">
        <v>0</v>
      </c>
      <c r="X25" s="284">
        <v>4</v>
      </c>
      <c r="Y25" s="282"/>
      <c r="Z25" s="283">
        <v>40000</v>
      </c>
      <c r="AA25" s="283">
        <v>15522.52</v>
      </c>
      <c r="AB25" s="283">
        <v>0</v>
      </c>
      <c r="AC25" s="283">
        <v>55522.520000000004</v>
      </c>
      <c r="AD25" s="283">
        <v>0</v>
      </c>
      <c r="AE25" s="283">
        <v>55522.520000000004</v>
      </c>
      <c r="AF25" s="284"/>
      <c r="AI25" s="286">
        <v>40000</v>
      </c>
      <c r="AK25" s="286">
        <v>15522.52</v>
      </c>
      <c r="AL25" s="286"/>
      <c r="AN25" s="286">
        <v>0</v>
      </c>
    </row>
    <row r="26" spans="1:40" ht="15" customHeight="1" x14ac:dyDescent="0.25">
      <c r="A26" s="285">
        <v>4607</v>
      </c>
      <c r="B26" s="18" t="s">
        <v>786</v>
      </c>
      <c r="C26" s="283"/>
      <c r="D26" s="283"/>
      <c r="E26" s="283"/>
      <c r="F26" s="283"/>
      <c r="G26" s="282"/>
      <c r="H26" s="283">
        <v>0</v>
      </c>
      <c r="I26" s="283">
        <v>0</v>
      </c>
      <c r="J26" s="283">
        <v>0</v>
      </c>
      <c r="K26" s="283">
        <v>5</v>
      </c>
      <c r="L26" s="284">
        <v>5</v>
      </c>
      <c r="M26" s="282"/>
      <c r="N26" s="283">
        <v>0</v>
      </c>
      <c r="O26" s="283">
        <v>0</v>
      </c>
      <c r="P26" s="283">
        <v>0</v>
      </c>
      <c r="Q26" s="283">
        <v>0</v>
      </c>
      <c r="R26" s="284">
        <v>0</v>
      </c>
      <c r="S26" s="282"/>
      <c r="T26" s="284">
        <v>0</v>
      </c>
      <c r="U26" s="284">
        <v>0</v>
      </c>
      <c r="V26" s="284">
        <v>0</v>
      </c>
      <c r="W26" s="284">
        <v>5</v>
      </c>
      <c r="X26" s="284">
        <v>5</v>
      </c>
      <c r="Y26" s="282"/>
      <c r="Z26" s="283">
        <v>50000</v>
      </c>
      <c r="AA26" s="283">
        <v>70426.149999999994</v>
      </c>
      <c r="AB26" s="283">
        <v>0</v>
      </c>
      <c r="AC26" s="283">
        <v>120426.15</v>
      </c>
      <c r="AD26" s="283">
        <v>0</v>
      </c>
      <c r="AE26" s="283">
        <v>120426.15</v>
      </c>
      <c r="AF26" s="284"/>
      <c r="AI26" s="286">
        <v>50000</v>
      </c>
      <c r="AK26" s="286">
        <v>70426.149999999994</v>
      </c>
      <c r="AL26" s="286"/>
      <c r="AN26" s="286">
        <v>0</v>
      </c>
    </row>
    <row r="27" spans="1:40" ht="15" customHeight="1" x14ac:dyDescent="0.25">
      <c r="B27" s="284"/>
      <c r="C27" s="283"/>
      <c r="D27" s="283"/>
      <c r="E27" s="283"/>
      <c r="F27" s="283"/>
      <c r="G27" s="282"/>
      <c r="H27" s="283"/>
      <c r="I27" s="283"/>
      <c r="J27" s="283"/>
      <c r="K27" s="283"/>
      <c r="L27" s="284"/>
      <c r="M27" s="282"/>
      <c r="N27" s="283"/>
      <c r="O27" s="283"/>
      <c r="P27" s="283"/>
      <c r="Q27" s="283"/>
      <c r="R27" s="284"/>
      <c r="S27" s="282"/>
      <c r="T27" s="284"/>
      <c r="U27" s="284"/>
      <c r="V27" s="284"/>
      <c r="W27" s="284"/>
      <c r="X27" s="284"/>
      <c r="Y27" s="282"/>
      <c r="Z27" s="283"/>
      <c r="AA27" s="283"/>
      <c r="AB27" s="283"/>
      <c r="AC27" s="283"/>
      <c r="AD27" s="283"/>
      <c r="AE27" s="283"/>
      <c r="AF27" s="284"/>
    </row>
    <row r="28" spans="1:40" ht="15" customHeight="1" thickBot="1" x14ac:dyDescent="0.3">
      <c r="B28" s="284" t="s">
        <v>346</v>
      </c>
      <c r="C28" s="283"/>
      <c r="D28" s="283"/>
      <c r="E28" s="283"/>
      <c r="F28" s="283"/>
      <c r="G28" s="282"/>
      <c r="H28" s="292">
        <v>4</v>
      </c>
      <c r="I28" s="292">
        <v>0</v>
      </c>
      <c r="J28" s="292">
        <v>0</v>
      </c>
      <c r="K28" s="292">
        <v>5</v>
      </c>
      <c r="L28" s="292">
        <v>9</v>
      </c>
      <c r="M28" s="282"/>
      <c r="N28" s="292">
        <v>0</v>
      </c>
      <c r="O28" s="292">
        <v>0</v>
      </c>
      <c r="P28" s="292">
        <v>0</v>
      </c>
      <c r="Q28" s="292">
        <v>0</v>
      </c>
      <c r="R28" s="292">
        <v>0</v>
      </c>
      <c r="S28" s="282"/>
      <c r="T28" s="292">
        <v>4</v>
      </c>
      <c r="U28" s="292">
        <v>0</v>
      </c>
      <c r="V28" s="292">
        <v>0</v>
      </c>
      <c r="W28" s="292">
        <v>5</v>
      </c>
      <c r="X28" s="292">
        <v>9</v>
      </c>
      <c r="Y28" s="282"/>
      <c r="Z28" s="293">
        <v>90000</v>
      </c>
      <c r="AA28" s="293">
        <v>85948.67</v>
      </c>
      <c r="AB28" s="293">
        <v>0</v>
      </c>
      <c r="AC28" s="293">
        <v>175948.66999999998</v>
      </c>
      <c r="AD28" s="293">
        <v>0</v>
      </c>
      <c r="AE28" s="293">
        <v>175948.66999999998</v>
      </c>
      <c r="AF28" s="284"/>
      <c r="AH28" s="293">
        <v>0</v>
      </c>
      <c r="AI28" s="794">
        <v>90000</v>
      </c>
      <c r="AJ28" s="293">
        <v>0</v>
      </c>
      <c r="AK28" s="293">
        <v>85948.67</v>
      </c>
      <c r="AL28" s="293">
        <v>0</v>
      </c>
      <c r="AM28" s="293">
        <v>0</v>
      </c>
      <c r="AN28" s="293">
        <v>0</v>
      </c>
    </row>
    <row r="29" spans="1:40" ht="15" customHeight="1" x14ac:dyDescent="0.25"/>
    <row r="30" spans="1:40" s="300" customFormat="1" ht="15" customHeight="1" thickBot="1" x14ac:dyDescent="0.3">
      <c r="A30" s="300" t="s">
        <v>868</v>
      </c>
      <c r="B30" s="295" t="s">
        <v>347</v>
      </c>
      <c r="C30" s="296"/>
      <c r="D30" s="296"/>
      <c r="E30" s="296"/>
      <c r="F30" s="296"/>
      <c r="G30" s="297"/>
      <c r="H30" s="298">
        <v>22</v>
      </c>
      <c r="I30" s="298">
        <v>38</v>
      </c>
      <c r="J30" s="298">
        <v>93</v>
      </c>
      <c r="K30" s="298">
        <v>72</v>
      </c>
      <c r="L30" s="298">
        <v>225</v>
      </c>
      <c r="M30" s="297"/>
      <c r="N30" s="298">
        <v>0</v>
      </c>
      <c r="O30" s="298">
        <v>1</v>
      </c>
      <c r="P30" s="298">
        <v>3</v>
      </c>
      <c r="Q30" s="298">
        <v>4</v>
      </c>
      <c r="R30" s="298">
        <v>8</v>
      </c>
      <c r="S30" s="297"/>
      <c r="T30" s="298">
        <v>22</v>
      </c>
      <c r="U30" s="298">
        <v>39</v>
      </c>
      <c r="V30" s="298">
        <v>96</v>
      </c>
      <c r="W30" s="298">
        <v>76</v>
      </c>
      <c r="X30" s="298">
        <v>233</v>
      </c>
      <c r="Y30" s="297"/>
      <c r="Z30" s="299">
        <v>2330000</v>
      </c>
      <c r="AA30" s="299">
        <v>1948784.61</v>
      </c>
      <c r="AB30" s="299">
        <v>25000</v>
      </c>
      <c r="AC30" s="299">
        <v>4303784.6100000003</v>
      </c>
      <c r="AD30" s="299">
        <v>115003.67499999999</v>
      </c>
      <c r="AE30" s="299">
        <v>4418788.2850000001</v>
      </c>
      <c r="AH30" s="795">
        <v>2240000</v>
      </c>
      <c r="AI30" s="795">
        <v>90000</v>
      </c>
      <c r="AJ30" s="795">
        <v>1862835.9400000002</v>
      </c>
      <c r="AK30" s="795">
        <v>85948.67</v>
      </c>
      <c r="AL30" s="795">
        <v>25000</v>
      </c>
      <c r="AM30" s="795">
        <v>115003.67499999999</v>
      </c>
      <c r="AN30" s="299">
        <v>0</v>
      </c>
    </row>
    <row r="31" spans="1:40" ht="15" customHeight="1" x14ac:dyDescent="0.25"/>
    <row r="32" spans="1:40" ht="15" customHeight="1" x14ac:dyDescent="0.25">
      <c r="B32" s="281" t="s">
        <v>348</v>
      </c>
      <c r="C32" s="283"/>
      <c r="D32" s="283"/>
      <c r="E32" s="283"/>
      <c r="F32" s="283"/>
      <c r="G32" s="282"/>
      <c r="H32" s="284"/>
      <c r="I32" s="284"/>
      <c r="J32" s="284"/>
      <c r="K32" s="284"/>
      <c r="L32" s="284"/>
      <c r="M32" s="282"/>
      <c r="N32" s="284"/>
      <c r="O32" s="284"/>
      <c r="P32" s="284"/>
      <c r="Q32" s="284"/>
      <c r="R32" s="284"/>
      <c r="S32" s="282"/>
      <c r="T32" s="284"/>
      <c r="U32" s="284"/>
      <c r="V32" s="284"/>
      <c r="W32" s="284"/>
      <c r="X32" s="284"/>
      <c r="Y32" s="282"/>
      <c r="Z32" s="283"/>
      <c r="AA32" s="283"/>
      <c r="AB32" s="283"/>
      <c r="AC32" s="283"/>
      <c r="AD32" s="283"/>
      <c r="AE32" s="283"/>
      <c r="AF32" s="284"/>
    </row>
    <row r="33" spans="1:41" ht="15" customHeight="1" x14ac:dyDescent="0.25">
      <c r="B33" s="284" t="s">
        <v>38</v>
      </c>
      <c r="C33" s="283"/>
      <c r="D33" s="283"/>
      <c r="E33" s="283"/>
      <c r="F33" s="283"/>
      <c r="G33" s="282"/>
      <c r="H33" s="283">
        <v>0</v>
      </c>
      <c r="I33" s="283">
        <v>0</v>
      </c>
      <c r="J33" s="283">
        <v>8</v>
      </c>
      <c r="K33" s="283">
        <v>0</v>
      </c>
      <c r="L33" s="284">
        <v>8</v>
      </c>
      <c r="M33" s="282"/>
      <c r="N33" s="283">
        <v>0</v>
      </c>
      <c r="O33" s="283">
        <v>0</v>
      </c>
      <c r="P33" s="283">
        <v>0</v>
      </c>
      <c r="Q33" s="283">
        <v>0</v>
      </c>
      <c r="R33" s="284">
        <v>0</v>
      </c>
      <c r="S33" s="282"/>
      <c r="T33" s="284">
        <v>0</v>
      </c>
      <c r="U33" s="284">
        <v>0</v>
      </c>
      <c r="V33" s="284">
        <v>8</v>
      </c>
      <c r="W33" s="284">
        <v>0</v>
      </c>
      <c r="X33" s="284">
        <v>8</v>
      </c>
      <c r="Y33" s="282"/>
      <c r="Z33" s="283">
        <v>80000</v>
      </c>
      <c r="AA33" s="283">
        <v>62055</v>
      </c>
      <c r="AB33" s="283">
        <v>0</v>
      </c>
      <c r="AC33" s="283">
        <v>142055</v>
      </c>
      <c r="AD33" s="283">
        <v>0</v>
      </c>
      <c r="AE33" s="283">
        <v>142055</v>
      </c>
      <c r="AF33" s="284"/>
      <c r="AH33" s="286">
        <v>80000</v>
      </c>
      <c r="AJ33" s="286">
        <v>62055</v>
      </c>
      <c r="AL33" s="286"/>
      <c r="AM33" s="286">
        <v>0</v>
      </c>
    </row>
    <row r="34" spans="1:41" ht="15" customHeight="1" x14ac:dyDescent="0.25">
      <c r="B34" s="284" t="s">
        <v>787</v>
      </c>
      <c r="C34" s="283"/>
      <c r="D34" s="283"/>
      <c r="E34" s="283"/>
      <c r="F34" s="283"/>
      <c r="G34" s="282"/>
      <c r="H34" s="283">
        <v>0</v>
      </c>
      <c r="I34" s="283">
        <v>0</v>
      </c>
      <c r="J34" s="283">
        <v>10</v>
      </c>
      <c r="K34" s="283">
        <v>0</v>
      </c>
      <c r="L34" s="284">
        <v>10</v>
      </c>
      <c r="M34" s="282"/>
      <c r="N34" s="283">
        <v>0</v>
      </c>
      <c r="O34" s="283">
        <v>0</v>
      </c>
      <c r="P34" s="283">
        <v>0</v>
      </c>
      <c r="Q34" s="283">
        <v>0</v>
      </c>
      <c r="R34" s="284">
        <v>0</v>
      </c>
      <c r="S34" s="282"/>
      <c r="T34" s="284">
        <v>0</v>
      </c>
      <c r="U34" s="284">
        <v>0</v>
      </c>
      <c r="V34" s="284">
        <v>10</v>
      </c>
      <c r="W34" s="284">
        <v>0</v>
      </c>
      <c r="X34" s="284">
        <v>10</v>
      </c>
      <c r="Y34" s="282"/>
      <c r="Z34" s="283">
        <v>0</v>
      </c>
      <c r="AA34" s="283">
        <v>0</v>
      </c>
      <c r="AB34" s="283">
        <v>110000</v>
      </c>
      <c r="AC34" s="283">
        <v>110000</v>
      </c>
      <c r="AD34" s="283">
        <v>0</v>
      </c>
      <c r="AE34" s="283">
        <v>110000</v>
      </c>
      <c r="AF34" s="284"/>
      <c r="AH34" s="286">
        <v>0</v>
      </c>
      <c r="AJ34" s="286">
        <v>0</v>
      </c>
      <c r="AL34" s="286">
        <v>110000</v>
      </c>
      <c r="AM34" s="286">
        <v>0</v>
      </c>
    </row>
    <row r="35" spans="1:41" s="300" customFormat="1" ht="15" customHeight="1" thickBot="1" x14ac:dyDescent="0.3">
      <c r="C35" s="296"/>
      <c r="D35" s="296"/>
      <c r="E35" s="296"/>
      <c r="F35" s="296"/>
      <c r="G35" s="297"/>
      <c r="H35" s="299">
        <v>0</v>
      </c>
      <c r="I35" s="299">
        <v>0</v>
      </c>
      <c r="J35" s="299">
        <v>18</v>
      </c>
      <c r="K35" s="299">
        <v>0</v>
      </c>
      <c r="L35" s="299">
        <v>18</v>
      </c>
      <c r="M35" s="297"/>
      <c r="N35" s="299">
        <v>0</v>
      </c>
      <c r="O35" s="299">
        <v>0</v>
      </c>
      <c r="P35" s="299">
        <v>0</v>
      </c>
      <c r="Q35" s="299">
        <v>0</v>
      </c>
      <c r="R35" s="299">
        <v>0</v>
      </c>
      <c r="S35" s="297"/>
      <c r="T35" s="299">
        <v>0</v>
      </c>
      <c r="U35" s="299">
        <v>0</v>
      </c>
      <c r="V35" s="299">
        <v>18</v>
      </c>
      <c r="W35" s="299">
        <v>0</v>
      </c>
      <c r="X35" s="299">
        <v>18</v>
      </c>
      <c r="Y35" s="297"/>
      <c r="Z35" s="299">
        <v>80000</v>
      </c>
      <c r="AA35" s="299">
        <v>62055</v>
      </c>
      <c r="AB35" s="299">
        <v>110000</v>
      </c>
      <c r="AC35" s="299">
        <v>252055</v>
      </c>
      <c r="AD35" s="299">
        <v>0</v>
      </c>
      <c r="AE35" s="299">
        <v>252055</v>
      </c>
      <c r="AH35" s="299">
        <v>80000</v>
      </c>
      <c r="AI35" s="299">
        <v>0</v>
      </c>
      <c r="AJ35" s="299">
        <v>62055</v>
      </c>
      <c r="AK35" s="299">
        <v>0</v>
      </c>
      <c r="AL35" s="299">
        <v>110000</v>
      </c>
      <c r="AM35" s="299">
        <v>0</v>
      </c>
      <c r="AN35" s="299">
        <v>0</v>
      </c>
    </row>
    <row r="36" spans="1:41" ht="15" customHeight="1" x14ac:dyDescent="0.25">
      <c r="B36" s="280" t="s">
        <v>349</v>
      </c>
    </row>
    <row r="37" spans="1:41" ht="15" customHeight="1" x14ac:dyDescent="0.25">
      <c r="B37" s="282" t="s">
        <v>350</v>
      </c>
      <c r="C37" s="283"/>
      <c r="D37" s="283"/>
      <c r="E37" s="283"/>
      <c r="F37" s="283"/>
      <c r="G37" s="282"/>
      <c r="H37" s="283">
        <v>0</v>
      </c>
      <c r="I37" s="283">
        <v>12</v>
      </c>
      <c r="J37" s="283">
        <v>0</v>
      </c>
      <c r="K37" s="283">
        <v>0</v>
      </c>
      <c r="L37" s="284">
        <v>12</v>
      </c>
      <c r="M37" s="282"/>
      <c r="N37" s="283">
        <v>0</v>
      </c>
      <c r="O37" s="283">
        <v>0</v>
      </c>
      <c r="P37" s="283">
        <v>0</v>
      </c>
      <c r="Q37" s="283">
        <v>0</v>
      </c>
      <c r="R37" s="284">
        <v>0</v>
      </c>
      <c r="S37" s="282"/>
      <c r="T37" s="284">
        <v>0</v>
      </c>
      <c r="U37" s="284">
        <v>12</v>
      </c>
      <c r="V37" s="284">
        <v>0</v>
      </c>
      <c r="W37" s="284">
        <v>0</v>
      </c>
      <c r="X37" s="284">
        <v>12</v>
      </c>
      <c r="Y37" s="282"/>
      <c r="Z37" s="283">
        <v>120000</v>
      </c>
      <c r="AA37" s="283">
        <v>81099.650852104809</v>
      </c>
      <c r="AB37" s="283">
        <v>0</v>
      </c>
      <c r="AC37" s="283">
        <v>201099.65085210482</v>
      </c>
      <c r="AD37" s="283">
        <v>0</v>
      </c>
      <c r="AE37" s="283">
        <v>201099.65085210482</v>
      </c>
      <c r="AF37" s="284"/>
      <c r="AI37" s="286">
        <v>120000</v>
      </c>
      <c r="AK37" s="286">
        <v>81099.650852104809</v>
      </c>
      <c r="AM37" s="286"/>
      <c r="AN37" s="286">
        <v>0</v>
      </c>
    </row>
    <row r="38" spans="1:41" s="300" customFormat="1" ht="15" customHeight="1" thickBot="1" x14ac:dyDescent="0.3">
      <c r="C38" s="296"/>
      <c r="D38" s="296"/>
      <c r="E38" s="296"/>
      <c r="F38" s="296"/>
      <c r="G38" s="297"/>
      <c r="H38" s="299">
        <v>0</v>
      </c>
      <c r="I38" s="299">
        <v>12</v>
      </c>
      <c r="J38" s="299">
        <v>0</v>
      </c>
      <c r="K38" s="299">
        <v>0</v>
      </c>
      <c r="L38" s="299">
        <v>12</v>
      </c>
      <c r="M38" s="297"/>
      <c r="N38" s="299">
        <v>0</v>
      </c>
      <c r="O38" s="299">
        <v>0</v>
      </c>
      <c r="P38" s="299">
        <v>0</v>
      </c>
      <c r="Q38" s="299">
        <v>0</v>
      </c>
      <c r="R38" s="299">
        <v>0</v>
      </c>
      <c r="S38" s="297"/>
      <c r="T38" s="299">
        <v>0</v>
      </c>
      <c r="U38" s="299">
        <v>12</v>
      </c>
      <c r="V38" s="299">
        <v>0</v>
      </c>
      <c r="W38" s="299">
        <v>0</v>
      </c>
      <c r="X38" s="299">
        <v>12</v>
      </c>
      <c r="Y38" s="297"/>
      <c r="Z38" s="299">
        <v>120000</v>
      </c>
      <c r="AA38" s="299">
        <v>81099.650852104809</v>
      </c>
      <c r="AB38" s="299">
        <v>0</v>
      </c>
      <c r="AC38" s="299">
        <v>201099.65085210482</v>
      </c>
      <c r="AD38" s="299">
        <v>0</v>
      </c>
      <c r="AE38" s="299">
        <v>201099.65085210482</v>
      </c>
      <c r="AH38" s="299">
        <v>0</v>
      </c>
      <c r="AI38" s="299">
        <v>120000</v>
      </c>
      <c r="AJ38" s="299">
        <v>0</v>
      </c>
      <c r="AK38" s="299">
        <v>81099.650852104809</v>
      </c>
      <c r="AL38" s="299">
        <v>0</v>
      </c>
      <c r="AM38" s="299">
        <v>0</v>
      </c>
      <c r="AN38" s="299">
        <v>0</v>
      </c>
    </row>
    <row r="39" spans="1:41" ht="15" customHeight="1" x14ac:dyDescent="0.25"/>
    <row r="40" spans="1:41" s="300" customFormat="1" ht="15" customHeight="1" thickBot="1" x14ac:dyDescent="0.3">
      <c r="B40" s="301" t="s">
        <v>351</v>
      </c>
      <c r="C40" s="296"/>
      <c r="D40" s="296"/>
      <c r="E40" s="296"/>
      <c r="F40" s="296"/>
      <c r="G40" s="297"/>
      <c r="H40" s="299">
        <v>22</v>
      </c>
      <c r="I40" s="299">
        <v>50</v>
      </c>
      <c r="J40" s="299">
        <v>111</v>
      </c>
      <c r="K40" s="299">
        <v>72</v>
      </c>
      <c r="L40" s="299">
        <v>255</v>
      </c>
      <c r="M40" s="297"/>
      <c r="N40" s="299">
        <v>0</v>
      </c>
      <c r="O40" s="299">
        <v>1</v>
      </c>
      <c r="P40" s="299">
        <v>3</v>
      </c>
      <c r="Q40" s="299">
        <v>4</v>
      </c>
      <c r="R40" s="299">
        <v>8</v>
      </c>
      <c r="S40" s="297"/>
      <c r="T40" s="299">
        <v>22</v>
      </c>
      <c r="U40" s="299">
        <v>51</v>
      </c>
      <c r="V40" s="299">
        <v>114</v>
      </c>
      <c r="W40" s="299">
        <v>76</v>
      </c>
      <c r="X40" s="299">
        <v>263</v>
      </c>
      <c r="Y40" s="297"/>
      <c r="Z40" s="299">
        <v>2530000</v>
      </c>
      <c r="AA40" s="299">
        <v>2091939.260852105</v>
      </c>
      <c r="AB40" s="299">
        <v>135000</v>
      </c>
      <c r="AC40" s="299">
        <v>4756939.260852105</v>
      </c>
      <c r="AD40" s="299">
        <v>115003.67499999999</v>
      </c>
      <c r="AE40" s="299">
        <v>4871942.9358521048</v>
      </c>
      <c r="AH40" s="299">
        <v>2320000</v>
      </c>
      <c r="AI40" s="299">
        <v>210000</v>
      </c>
      <c r="AJ40" s="299">
        <v>1924890.9400000002</v>
      </c>
      <c r="AK40" s="299">
        <v>167048.32085210481</v>
      </c>
      <c r="AL40" s="299">
        <v>135000</v>
      </c>
      <c r="AM40" s="299">
        <v>115003.67499999999</v>
      </c>
      <c r="AN40" s="299">
        <v>0</v>
      </c>
    </row>
    <row r="41" spans="1:41" ht="15" customHeight="1" x14ac:dyDescent="0.25"/>
    <row r="42" spans="1:41" ht="15" customHeight="1" x14ac:dyDescent="0.25"/>
    <row r="43" spans="1:41" x14ac:dyDescent="0.25">
      <c r="AH43" s="286"/>
      <c r="AI43" s="286"/>
      <c r="AJ43" s="286"/>
      <c r="AK43" s="286"/>
      <c r="AL43" s="286"/>
      <c r="AM43" s="286"/>
      <c r="AN43" s="286"/>
      <c r="AO43" s="286"/>
    </row>
    <row r="44" spans="1:41" x14ac:dyDescent="0.25">
      <c r="AO44" s="286"/>
    </row>
    <row r="45" spans="1:41" x14ac:dyDescent="0.25">
      <c r="B45" s="285">
        <v>2</v>
      </c>
      <c r="C45" s="285">
        <v>3</v>
      </c>
      <c r="D45" s="285">
        <v>4</v>
      </c>
      <c r="E45" s="285">
        <v>5</v>
      </c>
      <c r="F45" s="285">
        <v>6</v>
      </c>
      <c r="G45" s="285">
        <v>7</v>
      </c>
      <c r="H45" s="285">
        <v>8</v>
      </c>
      <c r="I45" s="285">
        <v>9</v>
      </c>
      <c r="J45" s="285">
        <v>10</v>
      </c>
      <c r="K45" s="285">
        <v>11</v>
      </c>
      <c r="L45" s="285">
        <v>12</v>
      </c>
      <c r="M45" s="285">
        <v>13</v>
      </c>
      <c r="N45" s="285">
        <v>14</v>
      </c>
      <c r="O45" s="285">
        <v>15</v>
      </c>
      <c r="P45" s="285">
        <v>16</v>
      </c>
      <c r="Q45" s="285">
        <v>17</v>
      </c>
      <c r="R45" s="285">
        <v>18</v>
      </c>
      <c r="S45" s="285">
        <v>19</v>
      </c>
      <c r="T45" s="285">
        <v>20</v>
      </c>
      <c r="U45" s="285">
        <v>21</v>
      </c>
      <c r="V45" s="285">
        <v>22</v>
      </c>
      <c r="W45" s="285">
        <v>23</v>
      </c>
      <c r="X45" s="285">
        <v>24</v>
      </c>
      <c r="Y45" s="285">
        <v>25</v>
      </c>
      <c r="Z45" s="285">
        <v>26</v>
      </c>
      <c r="AA45" s="285">
        <v>27</v>
      </c>
      <c r="AB45" s="285">
        <v>28</v>
      </c>
      <c r="AC45" s="285">
        <v>29</v>
      </c>
      <c r="AD45" s="285">
        <v>30</v>
      </c>
      <c r="AE45" s="285">
        <v>31</v>
      </c>
      <c r="AF45" s="285">
        <v>32</v>
      </c>
      <c r="AG45" s="285">
        <v>33</v>
      </c>
      <c r="AH45" s="285">
        <v>34</v>
      </c>
      <c r="AI45" s="285">
        <v>35</v>
      </c>
      <c r="AJ45" s="285">
        <v>36</v>
      </c>
      <c r="AK45" s="285">
        <v>37</v>
      </c>
      <c r="AL45" s="285">
        <v>38</v>
      </c>
      <c r="AM45" s="285">
        <v>39</v>
      </c>
      <c r="AN45" s="285">
        <v>40</v>
      </c>
    </row>
    <row r="47" spans="1:41" x14ac:dyDescent="0.25">
      <c r="A47" s="646">
        <v>12345</v>
      </c>
      <c r="B47" s="586" t="s">
        <v>867</v>
      </c>
      <c r="C47" s="646"/>
      <c r="D47" s="646"/>
    </row>
    <row r="48" spans="1:41" x14ac:dyDescent="0.25">
      <c r="A48" s="765">
        <v>206189</v>
      </c>
      <c r="B48" s="285" t="s">
        <v>561</v>
      </c>
    </row>
    <row r="49" spans="1:2" x14ac:dyDescent="0.25">
      <c r="A49" s="765">
        <v>2400</v>
      </c>
      <c r="B49" s="285" t="s">
        <v>44</v>
      </c>
    </row>
    <row r="50" spans="1:2" x14ac:dyDescent="0.25">
      <c r="A50" s="765">
        <v>5414</v>
      </c>
      <c r="B50" s="285" t="s">
        <v>125</v>
      </c>
    </row>
    <row r="51" spans="1:2" x14ac:dyDescent="0.25">
      <c r="A51" s="765">
        <v>2443</v>
      </c>
      <c r="B51" s="285" t="s">
        <v>45</v>
      </c>
    </row>
    <row r="52" spans="1:2" x14ac:dyDescent="0.25">
      <c r="A52" s="765">
        <v>2442</v>
      </c>
      <c r="B52" s="285" t="s">
        <v>155</v>
      </c>
    </row>
    <row r="53" spans="1:2" x14ac:dyDescent="0.25">
      <c r="A53" s="765" t="s">
        <v>565</v>
      </c>
      <c r="B53" s="285" t="s">
        <v>564</v>
      </c>
    </row>
    <row r="54" spans="1:2" x14ac:dyDescent="0.25">
      <c r="A54" s="765">
        <v>2629</v>
      </c>
      <c r="B54" s="285" t="s">
        <v>47</v>
      </c>
    </row>
    <row r="55" spans="1:2" x14ac:dyDescent="0.25">
      <c r="A55" s="765">
        <v>2509</v>
      </c>
      <c r="B55" s="285" t="s">
        <v>48</v>
      </c>
    </row>
    <row r="56" spans="1:2" x14ac:dyDescent="0.25">
      <c r="A56" s="765">
        <v>1014</v>
      </c>
      <c r="B56" s="285" t="s">
        <v>36</v>
      </c>
    </row>
    <row r="57" spans="1:2" x14ac:dyDescent="0.25">
      <c r="A57" s="765">
        <v>2005</v>
      </c>
      <c r="B57" s="285" t="s">
        <v>49</v>
      </c>
    </row>
    <row r="58" spans="1:2" x14ac:dyDescent="0.25">
      <c r="A58" s="765">
        <v>2464</v>
      </c>
      <c r="B58" s="285" t="s">
        <v>50</v>
      </c>
    </row>
    <row r="59" spans="1:2" x14ac:dyDescent="0.25">
      <c r="A59" s="765">
        <v>2004</v>
      </c>
      <c r="B59" s="285" t="s">
        <v>51</v>
      </c>
    </row>
    <row r="60" spans="1:2" x14ac:dyDescent="0.25">
      <c r="A60" s="765">
        <v>2405</v>
      </c>
      <c r="B60" s="285" t="s">
        <v>52</v>
      </c>
    </row>
    <row r="61" spans="1:2" x14ac:dyDescent="0.25">
      <c r="A61" s="765" t="s">
        <v>568</v>
      </c>
      <c r="B61" s="285" t="s">
        <v>566</v>
      </c>
    </row>
    <row r="62" spans="1:2" x14ac:dyDescent="0.25">
      <c r="A62" s="765">
        <v>3525</v>
      </c>
      <c r="B62" s="285" t="s">
        <v>53</v>
      </c>
    </row>
    <row r="63" spans="1:2" x14ac:dyDescent="0.25">
      <c r="A63" s="765" t="s">
        <v>576</v>
      </c>
      <c r="B63" s="285" t="s">
        <v>575</v>
      </c>
    </row>
    <row r="64" spans="1:2" x14ac:dyDescent="0.25">
      <c r="A64" s="765">
        <v>5201</v>
      </c>
      <c r="B64" s="285" t="s">
        <v>54</v>
      </c>
    </row>
    <row r="65" spans="1:2" x14ac:dyDescent="0.25">
      <c r="A65" s="765">
        <v>206124</v>
      </c>
      <c r="B65" s="285" t="s">
        <v>577</v>
      </c>
    </row>
    <row r="66" spans="1:2" x14ac:dyDescent="0.25">
      <c r="A66" s="765">
        <v>2433</v>
      </c>
      <c r="B66" s="285" t="s">
        <v>56</v>
      </c>
    </row>
    <row r="67" spans="1:2" x14ac:dyDescent="0.25">
      <c r="A67" s="765">
        <v>2432</v>
      </c>
      <c r="B67" s="285" t="s">
        <v>57</v>
      </c>
    </row>
    <row r="68" spans="1:2" x14ac:dyDescent="0.25">
      <c r="A68" s="765" t="s">
        <v>582</v>
      </c>
      <c r="B68" s="285" t="s">
        <v>580</v>
      </c>
    </row>
    <row r="69" spans="1:2" x14ac:dyDescent="0.25">
      <c r="A69" s="765">
        <v>2447</v>
      </c>
      <c r="B69" s="285" t="s">
        <v>461</v>
      </c>
    </row>
    <row r="70" spans="1:2" x14ac:dyDescent="0.25">
      <c r="A70" s="765">
        <v>2512</v>
      </c>
      <c r="B70" s="285" t="s">
        <v>60</v>
      </c>
    </row>
    <row r="71" spans="1:2" x14ac:dyDescent="0.25">
      <c r="A71" s="765">
        <v>206126</v>
      </c>
      <c r="B71" s="285" t="s">
        <v>583</v>
      </c>
    </row>
    <row r="72" spans="1:2" x14ac:dyDescent="0.25">
      <c r="A72" s="765">
        <v>206111</v>
      </c>
      <c r="B72" s="285" t="s">
        <v>585</v>
      </c>
    </row>
    <row r="73" spans="1:2" x14ac:dyDescent="0.25">
      <c r="A73" s="765">
        <v>206091</v>
      </c>
      <c r="B73" s="285" t="s">
        <v>587</v>
      </c>
    </row>
    <row r="74" spans="1:2" x14ac:dyDescent="0.25">
      <c r="A74" s="765">
        <v>2456</v>
      </c>
      <c r="B74" s="285" t="s">
        <v>61</v>
      </c>
    </row>
    <row r="75" spans="1:2" x14ac:dyDescent="0.25">
      <c r="A75" s="765">
        <v>1017</v>
      </c>
      <c r="B75" s="285" t="s">
        <v>37</v>
      </c>
    </row>
    <row r="76" spans="1:2" x14ac:dyDescent="0.25">
      <c r="A76" s="765">
        <v>2449</v>
      </c>
      <c r="B76" s="285" t="s">
        <v>62</v>
      </c>
    </row>
    <row r="77" spans="1:2" x14ac:dyDescent="0.25">
      <c r="A77" s="765">
        <v>1006</v>
      </c>
      <c r="B77" s="285" t="s">
        <v>38</v>
      </c>
    </row>
    <row r="78" spans="1:2" x14ac:dyDescent="0.25">
      <c r="A78" s="765">
        <v>2467</v>
      </c>
      <c r="B78" s="285" t="s">
        <v>64</v>
      </c>
    </row>
    <row r="79" spans="1:2" x14ac:dyDescent="0.25">
      <c r="A79" s="765">
        <v>5402</v>
      </c>
      <c r="B79" s="285" t="s">
        <v>127</v>
      </c>
    </row>
    <row r="80" spans="1:2" x14ac:dyDescent="0.25">
      <c r="A80" s="765">
        <v>2455</v>
      </c>
      <c r="B80" s="285" t="s">
        <v>65</v>
      </c>
    </row>
    <row r="81" spans="1:2" x14ac:dyDescent="0.25">
      <c r="A81" s="765">
        <v>5203</v>
      </c>
      <c r="B81" s="285" t="s">
        <v>66</v>
      </c>
    </row>
    <row r="82" spans="1:2" x14ac:dyDescent="0.25">
      <c r="A82" s="765">
        <v>2451</v>
      </c>
      <c r="B82" s="285" t="s">
        <v>67</v>
      </c>
    </row>
    <row r="83" spans="1:2" x14ac:dyDescent="0.25">
      <c r="A83" s="765" t="s">
        <v>590</v>
      </c>
      <c r="B83" s="285" t="s">
        <v>589</v>
      </c>
    </row>
    <row r="84" spans="1:2" x14ac:dyDescent="0.25">
      <c r="A84" s="765">
        <v>206128</v>
      </c>
      <c r="B84" s="285" t="s">
        <v>591</v>
      </c>
    </row>
    <row r="85" spans="1:2" x14ac:dyDescent="0.25">
      <c r="A85" s="765">
        <v>4002</v>
      </c>
      <c r="B85" s="285" t="s">
        <v>791</v>
      </c>
    </row>
    <row r="86" spans="1:2" x14ac:dyDescent="0.25">
      <c r="A86" s="765">
        <v>2430</v>
      </c>
      <c r="B86" s="285" t="s">
        <v>797</v>
      </c>
    </row>
    <row r="87" spans="1:2" x14ac:dyDescent="0.25">
      <c r="A87" s="765">
        <v>4608</v>
      </c>
      <c r="B87" s="285" t="s">
        <v>116</v>
      </c>
    </row>
    <row r="88" spans="1:2" x14ac:dyDescent="0.25">
      <c r="A88" s="765">
        <v>2409</v>
      </c>
      <c r="B88" s="285" t="s">
        <v>68</v>
      </c>
    </row>
    <row r="89" spans="1:2" x14ac:dyDescent="0.25">
      <c r="A89" s="765" t="s">
        <v>598</v>
      </c>
      <c r="B89" s="285" t="s">
        <v>896</v>
      </c>
    </row>
    <row r="90" spans="1:2" x14ac:dyDescent="0.25">
      <c r="A90" s="765">
        <v>205999</v>
      </c>
      <c r="B90" s="285" t="s">
        <v>897</v>
      </c>
    </row>
    <row r="91" spans="1:2" x14ac:dyDescent="0.25">
      <c r="A91" s="765">
        <v>205921</v>
      </c>
      <c r="B91" s="285" t="s">
        <v>898</v>
      </c>
    </row>
    <row r="92" spans="1:2" x14ac:dyDescent="0.25">
      <c r="A92" s="765">
        <v>205922</v>
      </c>
      <c r="B92" s="285" t="s">
        <v>899</v>
      </c>
    </row>
    <row r="93" spans="1:2" x14ac:dyDescent="0.25">
      <c r="A93" s="765" t="s">
        <v>603</v>
      </c>
      <c r="B93" s="285" t="s">
        <v>900</v>
      </c>
    </row>
    <row r="94" spans="1:2" x14ac:dyDescent="0.25">
      <c r="A94" s="765">
        <v>205849</v>
      </c>
      <c r="B94" s="285" t="s">
        <v>901</v>
      </c>
    </row>
    <row r="95" spans="1:2" x14ac:dyDescent="0.25">
      <c r="A95" s="765" t="s">
        <v>606</v>
      </c>
      <c r="B95" s="285" t="s">
        <v>902</v>
      </c>
    </row>
    <row r="96" spans="1:2" x14ac:dyDescent="0.25">
      <c r="A96" s="765">
        <v>2</v>
      </c>
      <c r="B96" s="285" t="s">
        <v>903</v>
      </c>
    </row>
    <row r="97" spans="1:2" x14ac:dyDescent="0.25">
      <c r="A97" s="765">
        <v>205956</v>
      </c>
      <c r="B97" s="285" t="s">
        <v>904</v>
      </c>
    </row>
    <row r="98" spans="1:2" x14ac:dyDescent="0.25">
      <c r="A98" s="765" t="s">
        <v>612</v>
      </c>
      <c r="B98" s="285" t="s">
        <v>905</v>
      </c>
    </row>
    <row r="99" spans="1:2" x14ac:dyDescent="0.25">
      <c r="A99" s="765" t="s">
        <v>615</v>
      </c>
      <c r="B99" s="285" t="s">
        <v>906</v>
      </c>
    </row>
    <row r="100" spans="1:2" x14ac:dyDescent="0.25">
      <c r="A100" s="765" t="s">
        <v>613</v>
      </c>
      <c r="B100" s="285" t="s">
        <v>907</v>
      </c>
    </row>
    <row r="101" spans="1:2" x14ac:dyDescent="0.25">
      <c r="A101" s="765" t="s">
        <v>617</v>
      </c>
      <c r="B101" s="285" t="s">
        <v>908</v>
      </c>
    </row>
    <row r="102" spans="1:2" x14ac:dyDescent="0.25">
      <c r="A102" s="765" t="s">
        <v>618</v>
      </c>
      <c r="B102" s="285" t="s">
        <v>909</v>
      </c>
    </row>
    <row r="103" spans="1:2" x14ac:dyDescent="0.25">
      <c r="A103" s="765" t="s">
        <v>619</v>
      </c>
      <c r="B103" s="285" t="s">
        <v>910</v>
      </c>
    </row>
    <row r="104" spans="1:2" x14ac:dyDescent="0.25">
      <c r="A104" s="765" t="s">
        <v>620</v>
      </c>
      <c r="B104" s="285" t="s">
        <v>911</v>
      </c>
    </row>
    <row r="105" spans="1:2" x14ac:dyDescent="0.25">
      <c r="A105" s="765" t="s">
        <v>622</v>
      </c>
      <c r="B105" s="285" t="s">
        <v>621</v>
      </c>
    </row>
    <row r="106" spans="1:2" x14ac:dyDescent="0.25">
      <c r="A106" s="765" t="s">
        <v>625</v>
      </c>
      <c r="B106" s="285" t="s">
        <v>623</v>
      </c>
    </row>
    <row r="107" spans="1:2" x14ac:dyDescent="0.25">
      <c r="A107" s="765">
        <v>4178</v>
      </c>
      <c r="B107" s="285" t="s">
        <v>172</v>
      </c>
    </row>
    <row r="108" spans="1:2" x14ac:dyDescent="0.25">
      <c r="A108" s="765">
        <v>3158</v>
      </c>
      <c r="B108" s="285" t="s">
        <v>159</v>
      </c>
    </row>
    <row r="109" spans="1:2" x14ac:dyDescent="0.25">
      <c r="A109" s="765">
        <v>2619</v>
      </c>
      <c r="B109" s="285" t="s">
        <v>69</v>
      </c>
    </row>
    <row r="110" spans="1:2" x14ac:dyDescent="0.25">
      <c r="A110" s="765" t="s">
        <v>629</v>
      </c>
      <c r="B110" s="285" t="s">
        <v>628</v>
      </c>
    </row>
    <row r="111" spans="1:2" x14ac:dyDescent="0.25">
      <c r="A111" s="765">
        <v>258417</v>
      </c>
      <c r="B111" s="285" t="s">
        <v>630</v>
      </c>
    </row>
    <row r="112" spans="1:2" x14ac:dyDescent="0.25">
      <c r="A112" s="765" t="s">
        <v>634</v>
      </c>
      <c r="B112" s="285" t="s">
        <v>632</v>
      </c>
    </row>
    <row r="113" spans="1:2" x14ac:dyDescent="0.25">
      <c r="A113" s="765" t="s">
        <v>637</v>
      </c>
      <c r="B113" s="285" t="s">
        <v>635</v>
      </c>
    </row>
    <row r="114" spans="1:2" x14ac:dyDescent="0.25">
      <c r="A114" s="765">
        <v>2518</v>
      </c>
      <c r="B114" s="285" t="s">
        <v>70</v>
      </c>
    </row>
    <row r="115" spans="1:2" x14ac:dyDescent="0.25">
      <c r="A115" s="765">
        <v>206106</v>
      </c>
      <c r="B115" s="285" t="s">
        <v>638</v>
      </c>
    </row>
    <row r="116" spans="1:2" x14ac:dyDescent="0.25">
      <c r="A116" s="765" t="s">
        <v>641</v>
      </c>
      <c r="B116" s="285" t="s">
        <v>640</v>
      </c>
    </row>
    <row r="117" spans="1:2" x14ac:dyDescent="0.25">
      <c r="A117" s="765">
        <v>2457</v>
      </c>
      <c r="B117" s="285" t="s">
        <v>71</v>
      </c>
    </row>
    <row r="118" spans="1:2" x14ac:dyDescent="0.25">
      <c r="A118" s="765">
        <v>2515</v>
      </c>
      <c r="B118" s="285" t="s">
        <v>160</v>
      </c>
    </row>
    <row r="119" spans="1:2" x14ac:dyDescent="0.25">
      <c r="A119" s="765">
        <v>2002</v>
      </c>
      <c r="B119" s="285" t="s">
        <v>73</v>
      </c>
    </row>
    <row r="120" spans="1:2" x14ac:dyDescent="0.25">
      <c r="A120" s="765">
        <v>3544</v>
      </c>
      <c r="B120" s="285" t="s">
        <v>74</v>
      </c>
    </row>
    <row r="121" spans="1:2" x14ac:dyDescent="0.25">
      <c r="A121" s="765">
        <v>1008</v>
      </c>
      <c r="B121" s="285" t="s">
        <v>39</v>
      </c>
    </row>
    <row r="122" spans="1:2" x14ac:dyDescent="0.25">
      <c r="A122" s="765" t="s">
        <v>643</v>
      </c>
      <c r="B122" s="285" t="s">
        <v>642</v>
      </c>
    </row>
    <row r="123" spans="1:2" x14ac:dyDescent="0.25">
      <c r="A123" s="765">
        <v>2006</v>
      </c>
      <c r="B123" s="285" t="s">
        <v>161</v>
      </c>
    </row>
    <row r="124" spans="1:2" x14ac:dyDescent="0.25">
      <c r="A124" s="765" t="s">
        <v>645</v>
      </c>
      <c r="B124" s="285" t="s">
        <v>644</v>
      </c>
    </row>
    <row r="125" spans="1:2" x14ac:dyDescent="0.25">
      <c r="A125" s="765">
        <v>206133</v>
      </c>
      <c r="B125" s="285" t="s">
        <v>646</v>
      </c>
    </row>
    <row r="126" spans="1:2" x14ac:dyDescent="0.25">
      <c r="A126" s="765" t="s">
        <v>650</v>
      </c>
      <c r="B126" s="285" t="s">
        <v>648</v>
      </c>
    </row>
    <row r="127" spans="1:2" x14ac:dyDescent="0.25">
      <c r="A127" s="765">
        <v>206134</v>
      </c>
      <c r="B127" s="285" t="s">
        <v>651</v>
      </c>
    </row>
    <row r="128" spans="1:2" x14ac:dyDescent="0.25">
      <c r="A128" s="765" t="s">
        <v>656</v>
      </c>
      <c r="B128" s="285" t="s">
        <v>655</v>
      </c>
    </row>
    <row r="129" spans="1:2" x14ac:dyDescent="0.25">
      <c r="A129" s="765" t="s">
        <v>658</v>
      </c>
      <c r="B129" s="285" t="s">
        <v>657</v>
      </c>
    </row>
    <row r="130" spans="1:2" x14ac:dyDescent="0.25">
      <c r="A130" s="765">
        <v>206109</v>
      </c>
      <c r="B130" s="285" t="s">
        <v>659</v>
      </c>
    </row>
    <row r="131" spans="1:2" x14ac:dyDescent="0.25">
      <c r="A131" s="765">
        <v>2434</v>
      </c>
      <c r="B131" s="285" t="s">
        <v>76</v>
      </c>
    </row>
    <row r="132" spans="1:2" x14ac:dyDescent="0.25">
      <c r="A132" s="765">
        <v>2009</v>
      </c>
      <c r="B132" s="285" t="s">
        <v>81</v>
      </c>
    </row>
    <row r="133" spans="1:2" x14ac:dyDescent="0.25">
      <c r="A133" s="765">
        <v>2522</v>
      </c>
      <c r="B133" s="285" t="s">
        <v>77</v>
      </c>
    </row>
    <row r="134" spans="1:2" x14ac:dyDescent="0.25">
      <c r="A134" s="765">
        <v>206110</v>
      </c>
      <c r="B134" s="285" t="s">
        <v>661</v>
      </c>
    </row>
    <row r="135" spans="1:2" x14ac:dyDescent="0.25">
      <c r="A135" s="765">
        <v>206135</v>
      </c>
      <c r="B135" s="285" t="s">
        <v>663</v>
      </c>
    </row>
    <row r="136" spans="1:2" x14ac:dyDescent="0.25">
      <c r="A136" s="765">
        <v>4181</v>
      </c>
      <c r="B136" s="285" t="s">
        <v>118</v>
      </c>
    </row>
    <row r="137" spans="1:2" x14ac:dyDescent="0.25">
      <c r="A137" s="765">
        <v>509195</v>
      </c>
      <c r="B137" s="285" t="s">
        <v>665</v>
      </c>
    </row>
    <row r="138" spans="1:2" x14ac:dyDescent="0.25">
      <c r="A138" s="765" t="s">
        <v>668</v>
      </c>
      <c r="B138" s="285" t="s">
        <v>667</v>
      </c>
    </row>
    <row r="139" spans="1:2" x14ac:dyDescent="0.25">
      <c r="A139" s="765" t="s">
        <v>673</v>
      </c>
      <c r="B139" s="285" t="s">
        <v>671</v>
      </c>
    </row>
    <row r="140" spans="1:2" x14ac:dyDescent="0.25">
      <c r="A140" s="765">
        <v>509199</v>
      </c>
      <c r="B140" s="285" t="s">
        <v>674</v>
      </c>
    </row>
    <row r="141" spans="1:2" x14ac:dyDescent="0.25">
      <c r="A141" s="765">
        <v>509197</v>
      </c>
      <c r="B141" s="285" t="s">
        <v>676</v>
      </c>
    </row>
    <row r="142" spans="1:2" x14ac:dyDescent="0.25">
      <c r="A142" s="765">
        <v>4182</v>
      </c>
      <c r="B142" s="285" t="s">
        <v>119</v>
      </c>
    </row>
    <row r="143" spans="1:2" x14ac:dyDescent="0.25">
      <c r="A143" s="765" t="s">
        <v>680</v>
      </c>
      <c r="B143" s="285" t="s">
        <v>678</v>
      </c>
    </row>
    <row r="144" spans="1:2" x14ac:dyDescent="0.25">
      <c r="A144" s="765">
        <v>1005</v>
      </c>
      <c r="B144" s="285" t="s">
        <v>40</v>
      </c>
    </row>
    <row r="145" spans="1:2" x14ac:dyDescent="0.25">
      <c r="A145" s="765">
        <v>2436</v>
      </c>
      <c r="B145" s="285" t="s">
        <v>78</v>
      </c>
    </row>
    <row r="146" spans="1:2" x14ac:dyDescent="0.25">
      <c r="A146" s="765">
        <v>206117</v>
      </c>
      <c r="B146" s="285" t="s">
        <v>683</v>
      </c>
    </row>
    <row r="147" spans="1:2" x14ac:dyDescent="0.25">
      <c r="A147" s="765">
        <v>2452</v>
      </c>
      <c r="B147" s="285" t="s">
        <v>79</v>
      </c>
    </row>
    <row r="148" spans="1:2" x14ac:dyDescent="0.25">
      <c r="A148" s="765">
        <v>4001</v>
      </c>
      <c r="B148" s="285" t="s">
        <v>120</v>
      </c>
    </row>
    <row r="149" spans="1:2" x14ac:dyDescent="0.25">
      <c r="A149" s="765">
        <v>206141</v>
      </c>
      <c r="B149" s="285" t="s">
        <v>685</v>
      </c>
    </row>
    <row r="150" spans="1:2" x14ac:dyDescent="0.25">
      <c r="A150" s="765">
        <v>2627</v>
      </c>
      <c r="B150" s="285" t="s">
        <v>80</v>
      </c>
    </row>
    <row r="151" spans="1:2" x14ac:dyDescent="0.25">
      <c r="A151" s="765">
        <v>5406</v>
      </c>
      <c r="B151" s="285" t="s">
        <v>173</v>
      </c>
    </row>
    <row r="152" spans="1:2" x14ac:dyDescent="0.25">
      <c r="A152" s="765">
        <v>5407</v>
      </c>
      <c r="B152" s="285" t="s">
        <v>174</v>
      </c>
    </row>
    <row r="153" spans="1:2" x14ac:dyDescent="0.25">
      <c r="A153" s="765" t="s">
        <v>689</v>
      </c>
      <c r="B153" s="285" t="s">
        <v>687</v>
      </c>
    </row>
    <row r="154" spans="1:2" x14ac:dyDescent="0.25">
      <c r="A154" s="765">
        <v>258404</v>
      </c>
      <c r="B154" s="285" t="s">
        <v>690</v>
      </c>
    </row>
    <row r="155" spans="1:2" x14ac:dyDescent="0.25">
      <c r="A155" s="765">
        <v>2473</v>
      </c>
      <c r="B155" s="285" t="s">
        <v>162</v>
      </c>
    </row>
    <row r="156" spans="1:2" x14ac:dyDescent="0.25">
      <c r="A156" s="765">
        <v>2471</v>
      </c>
      <c r="B156" s="285" t="s">
        <v>84</v>
      </c>
    </row>
    <row r="157" spans="1:2" x14ac:dyDescent="0.25">
      <c r="A157" s="765">
        <v>258405</v>
      </c>
      <c r="B157" s="285" t="s">
        <v>692</v>
      </c>
    </row>
    <row r="158" spans="1:2" x14ac:dyDescent="0.25">
      <c r="A158" s="765">
        <v>258406</v>
      </c>
      <c r="B158" s="285" t="s">
        <v>694</v>
      </c>
    </row>
    <row r="159" spans="1:2" x14ac:dyDescent="0.25">
      <c r="A159" s="765">
        <v>2420</v>
      </c>
      <c r="B159" s="285" t="s">
        <v>82</v>
      </c>
    </row>
    <row r="160" spans="1:2" x14ac:dyDescent="0.25">
      <c r="A160" s="765">
        <v>206160</v>
      </c>
      <c r="B160" s="285" t="s">
        <v>696</v>
      </c>
    </row>
    <row r="161" spans="1:2" x14ac:dyDescent="0.25">
      <c r="A161" s="765">
        <v>2003</v>
      </c>
      <c r="B161" s="285" t="s">
        <v>85</v>
      </c>
    </row>
    <row r="162" spans="1:2" x14ac:dyDescent="0.25">
      <c r="A162" s="765">
        <v>2423</v>
      </c>
      <c r="B162" s="285" t="s">
        <v>86</v>
      </c>
    </row>
    <row r="163" spans="1:2" x14ac:dyDescent="0.25">
      <c r="A163" s="765">
        <v>2424</v>
      </c>
      <c r="B163" s="285" t="s">
        <v>87</v>
      </c>
    </row>
    <row r="164" spans="1:2" x14ac:dyDescent="0.25">
      <c r="A164" s="765" t="s">
        <v>700</v>
      </c>
      <c r="B164" s="285" t="s">
        <v>698</v>
      </c>
    </row>
    <row r="165" spans="1:2" x14ac:dyDescent="0.25">
      <c r="A165" s="765" t="s">
        <v>702</v>
      </c>
      <c r="B165" s="285" t="s">
        <v>701</v>
      </c>
    </row>
    <row r="166" spans="1:2" x14ac:dyDescent="0.25">
      <c r="A166" s="765" t="s">
        <v>705</v>
      </c>
      <c r="B166" s="285" t="s">
        <v>703</v>
      </c>
    </row>
    <row r="167" spans="1:2" x14ac:dyDescent="0.25">
      <c r="A167" s="765">
        <v>206146</v>
      </c>
      <c r="B167" s="285" t="s">
        <v>706</v>
      </c>
    </row>
    <row r="168" spans="1:2" x14ac:dyDescent="0.25">
      <c r="A168" s="765">
        <v>2439</v>
      </c>
      <c r="B168" s="285" t="s">
        <v>88</v>
      </c>
    </row>
    <row r="169" spans="1:2" x14ac:dyDescent="0.25">
      <c r="A169" s="765">
        <v>2440</v>
      </c>
      <c r="B169" s="285" t="s">
        <v>89</v>
      </c>
    </row>
    <row r="170" spans="1:2" x14ac:dyDescent="0.25">
      <c r="A170" s="765" t="s">
        <v>709</v>
      </c>
      <c r="B170" s="285" t="s">
        <v>708</v>
      </c>
    </row>
    <row r="171" spans="1:2" x14ac:dyDescent="0.25">
      <c r="A171" s="765" t="s">
        <v>716</v>
      </c>
      <c r="B171" s="285" t="s">
        <v>715</v>
      </c>
    </row>
    <row r="172" spans="1:2" x14ac:dyDescent="0.25">
      <c r="A172" s="765">
        <v>2462</v>
      </c>
      <c r="B172" s="285" t="s">
        <v>163</v>
      </c>
    </row>
    <row r="173" spans="1:2" x14ac:dyDescent="0.25">
      <c r="A173" s="765">
        <v>2463</v>
      </c>
      <c r="B173" s="285" t="s">
        <v>91</v>
      </c>
    </row>
    <row r="174" spans="1:2" x14ac:dyDescent="0.25">
      <c r="A174" s="765">
        <v>2505</v>
      </c>
      <c r="B174" s="285" t="s">
        <v>92</v>
      </c>
    </row>
    <row r="175" spans="1:2" x14ac:dyDescent="0.25">
      <c r="A175" s="765">
        <v>2000</v>
      </c>
      <c r="B175" s="285" t="s">
        <v>93</v>
      </c>
    </row>
    <row r="176" spans="1:2" x14ac:dyDescent="0.25">
      <c r="A176" s="765">
        <v>2458</v>
      </c>
      <c r="B176" s="285" t="s">
        <v>94</v>
      </c>
    </row>
    <row r="177" spans="1:2" x14ac:dyDescent="0.25">
      <c r="A177" s="765" t="s">
        <v>719</v>
      </c>
      <c r="B177" s="285" t="s">
        <v>717</v>
      </c>
    </row>
    <row r="178" spans="1:2" x14ac:dyDescent="0.25">
      <c r="A178" s="765">
        <v>2001</v>
      </c>
      <c r="B178" s="285" t="s">
        <v>95</v>
      </c>
    </row>
    <row r="179" spans="1:2" x14ac:dyDescent="0.25">
      <c r="A179" s="765" t="s">
        <v>721</v>
      </c>
      <c r="B179" s="285" t="s">
        <v>720</v>
      </c>
    </row>
    <row r="180" spans="1:2" x14ac:dyDescent="0.25">
      <c r="A180" s="765">
        <v>2429</v>
      </c>
      <c r="B180" s="285" t="s">
        <v>96</v>
      </c>
    </row>
    <row r="181" spans="1:2" x14ac:dyDescent="0.25">
      <c r="A181" s="765">
        <v>113044</v>
      </c>
      <c r="B181" s="285" t="s">
        <v>722</v>
      </c>
    </row>
    <row r="182" spans="1:2" x14ac:dyDescent="0.25">
      <c r="A182" s="765" t="s">
        <v>726</v>
      </c>
      <c r="B182" s="285" t="s">
        <v>724</v>
      </c>
    </row>
    <row r="183" spans="1:2" x14ac:dyDescent="0.25">
      <c r="A183" s="765">
        <v>4607</v>
      </c>
      <c r="B183" s="285" t="s">
        <v>123</v>
      </c>
    </row>
    <row r="184" spans="1:2" x14ac:dyDescent="0.25">
      <c r="A184" s="765">
        <v>2444</v>
      </c>
      <c r="B184" s="285" t="s">
        <v>97</v>
      </c>
    </row>
    <row r="185" spans="1:2" x14ac:dyDescent="0.25">
      <c r="A185" s="765">
        <v>5209</v>
      </c>
      <c r="B185" s="285" t="s">
        <v>98</v>
      </c>
    </row>
    <row r="186" spans="1:2" x14ac:dyDescent="0.25">
      <c r="A186" s="765" t="s">
        <v>729</v>
      </c>
      <c r="B186" s="285" t="s">
        <v>727</v>
      </c>
    </row>
    <row r="187" spans="1:2" x14ac:dyDescent="0.25">
      <c r="A187" s="765" t="s">
        <v>732</v>
      </c>
      <c r="B187" s="285" t="s">
        <v>730</v>
      </c>
    </row>
    <row r="188" spans="1:2" x14ac:dyDescent="0.25">
      <c r="A188" s="765">
        <v>2469</v>
      </c>
      <c r="B188" s="285" t="s">
        <v>99</v>
      </c>
    </row>
    <row r="189" spans="1:2" x14ac:dyDescent="0.25">
      <c r="A189" s="765" t="s">
        <v>735</v>
      </c>
      <c r="B189" s="285" t="s">
        <v>733</v>
      </c>
    </row>
    <row r="190" spans="1:2" x14ac:dyDescent="0.25">
      <c r="A190" s="765" t="s">
        <v>737</v>
      </c>
      <c r="B190" s="285" t="s">
        <v>736</v>
      </c>
    </row>
    <row r="191" spans="1:2" x14ac:dyDescent="0.25">
      <c r="A191" s="765">
        <v>2430</v>
      </c>
      <c r="B191" s="285" t="s">
        <v>100</v>
      </c>
    </row>
    <row r="192" spans="1:2" x14ac:dyDescent="0.25">
      <c r="A192" s="765">
        <v>2466</v>
      </c>
      <c r="B192" s="285" t="s">
        <v>101</v>
      </c>
    </row>
    <row r="193" spans="1:2" x14ac:dyDescent="0.25">
      <c r="A193" s="765">
        <v>3543</v>
      </c>
      <c r="B193" s="285" t="s">
        <v>102</v>
      </c>
    </row>
    <row r="194" spans="1:2" x14ac:dyDescent="0.25">
      <c r="A194" s="765">
        <v>206152</v>
      </c>
      <c r="B194" s="285" t="s">
        <v>738</v>
      </c>
    </row>
    <row r="195" spans="1:2" x14ac:dyDescent="0.25">
      <c r="A195" s="765">
        <v>3158</v>
      </c>
      <c r="B195" s="285" t="s">
        <v>103</v>
      </c>
    </row>
    <row r="196" spans="1:2" x14ac:dyDescent="0.25">
      <c r="A196" s="765">
        <v>206153</v>
      </c>
      <c r="B196" s="285" t="s">
        <v>740</v>
      </c>
    </row>
    <row r="197" spans="1:2" x14ac:dyDescent="0.25">
      <c r="A197" s="765">
        <v>3531</v>
      </c>
      <c r="B197" s="285" t="s">
        <v>104</v>
      </c>
    </row>
    <row r="198" spans="1:2" x14ac:dyDescent="0.25">
      <c r="A198" s="765">
        <v>3526</v>
      </c>
      <c r="B198" s="285" t="s">
        <v>105</v>
      </c>
    </row>
    <row r="199" spans="1:2" x14ac:dyDescent="0.25">
      <c r="A199" s="765">
        <v>3535</v>
      </c>
      <c r="B199" s="285" t="s">
        <v>165</v>
      </c>
    </row>
    <row r="200" spans="1:2" x14ac:dyDescent="0.25">
      <c r="A200" s="765">
        <v>2008</v>
      </c>
      <c r="B200" s="285" t="s">
        <v>107</v>
      </c>
    </row>
    <row r="201" spans="1:2" x14ac:dyDescent="0.25">
      <c r="A201" s="765">
        <v>3542</v>
      </c>
      <c r="B201" s="285" t="s">
        <v>166</v>
      </c>
    </row>
    <row r="202" spans="1:2" x14ac:dyDescent="0.25">
      <c r="A202" s="765">
        <v>206154</v>
      </c>
      <c r="B202" s="285" t="s">
        <v>742</v>
      </c>
    </row>
    <row r="203" spans="1:2" x14ac:dyDescent="0.25">
      <c r="A203" s="765">
        <v>3528</v>
      </c>
      <c r="B203" s="285" t="s">
        <v>167</v>
      </c>
    </row>
    <row r="204" spans="1:2" x14ac:dyDescent="0.25">
      <c r="A204" s="765" t="s">
        <v>745</v>
      </c>
      <c r="B204" s="285" t="s">
        <v>744</v>
      </c>
    </row>
    <row r="205" spans="1:2" x14ac:dyDescent="0.25">
      <c r="A205" s="765">
        <v>3534</v>
      </c>
      <c r="B205" s="285" t="s">
        <v>168</v>
      </c>
    </row>
    <row r="206" spans="1:2" x14ac:dyDescent="0.25">
      <c r="A206" s="765">
        <v>3532</v>
      </c>
      <c r="B206" s="285" t="s">
        <v>169</v>
      </c>
    </row>
    <row r="207" spans="1:2" x14ac:dyDescent="0.25">
      <c r="A207" s="765">
        <v>1010</v>
      </c>
      <c r="B207" s="285" t="s">
        <v>41</v>
      </c>
    </row>
    <row r="208" spans="1:2" x14ac:dyDescent="0.25">
      <c r="A208" s="765" t="s">
        <v>748</v>
      </c>
      <c r="B208" s="285" t="s">
        <v>746</v>
      </c>
    </row>
    <row r="209" spans="1:3" x14ac:dyDescent="0.25">
      <c r="A209" s="765" t="s">
        <v>751</v>
      </c>
      <c r="B209" s="285" t="s">
        <v>749</v>
      </c>
    </row>
    <row r="210" spans="1:3" x14ac:dyDescent="0.25">
      <c r="A210" s="765">
        <v>206103</v>
      </c>
      <c r="B210" s="285" t="s">
        <v>752</v>
      </c>
    </row>
    <row r="211" spans="1:3" x14ac:dyDescent="0.25">
      <c r="A211" s="765" t="s">
        <v>755</v>
      </c>
      <c r="B211" s="285" t="s">
        <v>753</v>
      </c>
    </row>
    <row r="212" spans="1:3" x14ac:dyDescent="0.25">
      <c r="A212" s="765" t="s">
        <v>758</v>
      </c>
      <c r="B212" s="285" t="s">
        <v>756</v>
      </c>
    </row>
    <row r="213" spans="1:3" x14ac:dyDescent="0.25">
      <c r="A213" s="765">
        <v>258420</v>
      </c>
      <c r="B213" s="285" t="s">
        <v>759</v>
      </c>
    </row>
    <row r="214" spans="1:3" x14ac:dyDescent="0.25">
      <c r="A214" s="765">
        <v>258424</v>
      </c>
      <c r="B214" s="285" t="s">
        <v>761</v>
      </c>
    </row>
    <row r="215" spans="1:3" x14ac:dyDescent="0.25">
      <c r="A215" s="765">
        <v>3546</v>
      </c>
      <c r="B215" s="285" t="s">
        <v>112</v>
      </c>
    </row>
    <row r="216" spans="1:3" x14ac:dyDescent="0.25">
      <c r="A216" s="765">
        <v>1009</v>
      </c>
      <c r="B216" s="285" t="s">
        <v>42</v>
      </c>
    </row>
    <row r="217" spans="1:3" x14ac:dyDescent="0.25">
      <c r="A217" s="765">
        <v>3530</v>
      </c>
      <c r="B217" s="285" t="s">
        <v>113</v>
      </c>
    </row>
    <row r="218" spans="1:3" x14ac:dyDescent="0.25">
      <c r="A218" s="765">
        <v>5412</v>
      </c>
      <c r="B218" s="285" t="s">
        <v>126</v>
      </c>
    </row>
    <row r="219" spans="1:3" x14ac:dyDescent="0.25">
      <c r="A219" s="765" t="s">
        <v>771</v>
      </c>
      <c r="B219" s="285" t="s">
        <v>770</v>
      </c>
    </row>
    <row r="220" spans="1:3" x14ac:dyDescent="0.25">
      <c r="A220" s="765" t="s">
        <v>767</v>
      </c>
      <c r="B220" s="285" t="s">
        <v>765</v>
      </c>
    </row>
    <row r="221" spans="1:3" x14ac:dyDescent="0.25">
      <c r="A221" s="765">
        <v>1015</v>
      </c>
      <c r="B221" s="285" t="s">
        <v>43</v>
      </c>
      <c r="C221" s="824"/>
    </row>
    <row r="222" spans="1:3" x14ac:dyDescent="0.25">
      <c r="A222" s="825" t="s">
        <v>769</v>
      </c>
      <c r="B222" s="287" t="s">
        <v>768</v>
      </c>
      <c r="C222" s="824"/>
    </row>
    <row r="223" spans="1:3" x14ac:dyDescent="0.25">
      <c r="A223" s="825">
        <v>509204</v>
      </c>
      <c r="B223" s="287" t="s">
        <v>772</v>
      </c>
      <c r="C223" s="824"/>
    </row>
    <row r="224" spans="1:3" x14ac:dyDescent="0.25">
      <c r="A224" s="825">
        <v>2459</v>
      </c>
      <c r="B224" s="287" t="s">
        <v>114</v>
      </c>
      <c r="C224" s="824"/>
    </row>
    <row r="225" spans="1:3" x14ac:dyDescent="0.25">
      <c r="A225" s="825">
        <v>2007</v>
      </c>
      <c r="B225" s="287" t="s">
        <v>157</v>
      </c>
      <c r="C225" s="824"/>
    </row>
    <row r="226" spans="1:3" ht="26.25" x14ac:dyDescent="0.25">
      <c r="A226" s="657" t="s">
        <v>594</v>
      </c>
      <c r="B226" s="659" t="s">
        <v>593</v>
      </c>
      <c r="C226" s="824"/>
    </row>
    <row r="227" spans="1:3" x14ac:dyDescent="0.25">
      <c r="A227" s="657" t="s">
        <v>596</v>
      </c>
      <c r="B227" s="659" t="s">
        <v>595</v>
      </c>
      <c r="C227" s="657"/>
    </row>
    <row r="228" spans="1:3" x14ac:dyDescent="0.25">
      <c r="A228" s="331" t="s">
        <v>599</v>
      </c>
      <c r="B228" s="331" t="s">
        <v>1026</v>
      </c>
      <c r="C228" s="657"/>
    </row>
    <row r="229" spans="1:3" x14ac:dyDescent="0.25">
      <c r="A229" s="331" t="s">
        <v>600</v>
      </c>
      <c r="B229" s="331" t="s">
        <v>1027</v>
      </c>
      <c r="C229" s="331"/>
    </row>
    <row r="230" spans="1:3" x14ac:dyDescent="0.25">
      <c r="A230" s="331" t="s">
        <v>601</v>
      </c>
      <c r="B230" s="331" t="s">
        <v>1014</v>
      </c>
      <c r="C230" s="331"/>
    </row>
    <row r="231" spans="1:3" x14ac:dyDescent="0.25">
      <c r="A231" s="331" t="s">
        <v>602</v>
      </c>
      <c r="B231" s="331" t="s">
        <v>1015</v>
      </c>
      <c r="C231" s="331"/>
    </row>
    <row r="232" spans="1:3" x14ac:dyDescent="0.25">
      <c r="A232" s="331" t="s">
        <v>604</v>
      </c>
      <c r="B232" s="331" t="s">
        <v>1016</v>
      </c>
      <c r="C232" s="331"/>
    </row>
    <row r="233" spans="1:3" x14ac:dyDescent="0.25">
      <c r="A233" s="331" t="s">
        <v>605</v>
      </c>
      <c r="B233" s="331" t="s">
        <v>1017</v>
      </c>
      <c r="C233" s="331"/>
    </row>
    <row r="234" spans="1:3" x14ac:dyDescent="0.25">
      <c r="A234" s="658" t="s">
        <v>607</v>
      </c>
      <c r="B234" s="612" t="s">
        <v>1018</v>
      </c>
      <c r="C234" s="331"/>
    </row>
    <row r="235" spans="1:3" x14ac:dyDescent="0.25">
      <c r="A235" s="662" t="s">
        <v>608</v>
      </c>
      <c r="B235" s="664" t="s">
        <v>1019</v>
      </c>
      <c r="C235" s="658"/>
    </row>
    <row r="236" spans="1:3" x14ac:dyDescent="0.25">
      <c r="A236" s="807" t="s">
        <v>609</v>
      </c>
      <c r="B236" s="607" t="s">
        <v>1020</v>
      </c>
      <c r="C236" s="662"/>
    </row>
    <row r="237" spans="1:3" x14ac:dyDescent="0.25">
      <c r="A237" s="662" t="s">
        <v>610</v>
      </c>
      <c r="B237" s="808" t="s">
        <v>1021</v>
      </c>
      <c r="C237" s="807"/>
    </row>
    <row r="238" spans="1:3" x14ac:dyDescent="0.25">
      <c r="A238" s="608" t="s">
        <v>611</v>
      </c>
      <c r="B238" s="612" t="s">
        <v>1022</v>
      </c>
      <c r="C238" s="662"/>
    </row>
    <row r="239" spans="1:3" x14ac:dyDescent="0.25">
      <c r="A239" s="608" t="s">
        <v>612</v>
      </c>
      <c r="B239" s="607" t="s">
        <v>905</v>
      </c>
      <c r="C239" s="608"/>
    </row>
    <row r="240" spans="1:3" x14ac:dyDescent="0.25">
      <c r="A240" s="802" t="s">
        <v>614</v>
      </c>
      <c r="B240" s="808" t="s">
        <v>1023</v>
      </c>
      <c r="C240" s="608"/>
    </row>
    <row r="241" spans="1:3" x14ac:dyDescent="0.25">
      <c r="A241" s="608">
        <v>206043</v>
      </c>
      <c r="B241" s="612" t="s">
        <v>1024</v>
      </c>
      <c r="C241" s="802"/>
    </row>
    <row r="242" spans="1:3" x14ac:dyDescent="0.25">
      <c r="A242" s="809" t="s">
        <v>616</v>
      </c>
      <c r="B242" s="611" t="s">
        <v>1025</v>
      </c>
      <c r="C242" s="608"/>
    </row>
    <row r="243" spans="1:3" x14ac:dyDescent="0.25">
      <c r="A243" s="722" t="s">
        <v>670</v>
      </c>
      <c r="B243" s="804" t="s">
        <v>669</v>
      </c>
      <c r="C243" s="809"/>
    </row>
    <row r="244" spans="1:3" x14ac:dyDescent="0.25">
      <c r="A244" s="657" t="s">
        <v>682</v>
      </c>
      <c r="B244" s="659" t="s">
        <v>681</v>
      </c>
      <c r="C244" s="722"/>
    </row>
    <row r="245" spans="1:3" x14ac:dyDescent="0.25">
      <c r="A245" s="706" t="s">
        <v>654</v>
      </c>
      <c r="B245" s="491" t="s">
        <v>653</v>
      </c>
      <c r="C245" s="657"/>
    </row>
    <row r="246" spans="1:3" x14ac:dyDescent="0.25">
      <c r="A246" s="823">
        <v>2448</v>
      </c>
      <c r="B246" s="215" t="s">
        <v>63</v>
      </c>
      <c r="C246" s="706"/>
    </row>
    <row r="247" spans="1:3" x14ac:dyDescent="0.25">
      <c r="A247" s="837">
        <v>4000</v>
      </c>
      <c r="B247" s="583" t="s">
        <v>1033</v>
      </c>
      <c r="C247" s="837"/>
    </row>
    <row r="248" spans="1:3" x14ac:dyDescent="0.25">
      <c r="A248" s="604"/>
      <c r="B248" s="18"/>
      <c r="C248" s="823"/>
    </row>
  </sheetData>
  <sheetProtection password="EF5C" sheet="1" objects="1" scenarios="1" selectLockedCells="1" selectUnlockedCells="1"/>
  <mergeCells count="7">
    <mergeCell ref="C3:F3"/>
    <mergeCell ref="H3:L3"/>
    <mergeCell ref="N3:R3"/>
    <mergeCell ref="T3:X3"/>
    <mergeCell ref="AM2:AN2"/>
    <mergeCell ref="AJ2:AK2"/>
    <mergeCell ref="AH2:AI2"/>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27"/>
  <sheetViews>
    <sheetView zoomScale="80" zoomScaleNormal="90" workbookViewId="0">
      <pane xSplit="4" ySplit="5" topLeftCell="AG36" activePane="bottomRight" state="frozen"/>
      <selection activeCell="A21" sqref="A21"/>
      <selection pane="topRight" activeCell="A21" sqref="A21"/>
      <selection pane="bottomLeft" activeCell="A21" sqref="A21"/>
      <selection pane="bottomRight" activeCell="A57" sqref="A57"/>
    </sheetView>
  </sheetViews>
  <sheetFormatPr defaultRowHeight="12.75" x14ac:dyDescent="0.2"/>
  <cols>
    <col min="1" max="1" width="58.140625" style="332" bestFit="1" customWidth="1"/>
    <col min="2" max="2" width="11.42578125" style="324" bestFit="1" customWidth="1"/>
    <col min="3" max="3" width="10.85546875" style="324" customWidth="1"/>
    <col min="4" max="4" width="15.7109375" style="324" hidden="1" customWidth="1"/>
    <col min="5" max="5" width="12.28515625" style="325" bestFit="1" customWidth="1"/>
    <col min="6" max="6" width="11.42578125" style="325" bestFit="1" customWidth="1"/>
    <col min="7" max="7" width="11.42578125" style="325" customWidth="1"/>
    <col min="8" max="8" width="29.42578125" style="325" customWidth="1"/>
    <col min="9" max="9" width="11.42578125" style="325" customWidth="1"/>
    <col min="10" max="10" width="12.42578125" style="326" bestFit="1" customWidth="1"/>
    <col min="11" max="11" width="11.42578125" style="325" customWidth="1"/>
    <col min="12" max="13" width="12.42578125" style="325" bestFit="1" customWidth="1"/>
    <col min="14" max="14" width="14.42578125" style="325" bestFit="1" customWidth="1"/>
    <col min="15" max="15" width="17.5703125" style="326" bestFit="1" customWidth="1"/>
    <col min="16" max="16" width="0.85546875" style="325" customWidth="1"/>
    <col min="17" max="17" width="13.85546875" style="325" bestFit="1" customWidth="1"/>
    <col min="18" max="18" width="10.85546875" style="325" bestFit="1" customWidth="1"/>
    <col min="19" max="19" width="13.140625" style="326" customWidth="1"/>
    <col min="20" max="20" width="0.85546875" style="325" customWidth="1"/>
    <col min="21" max="21" width="12.5703125" style="325" customWidth="1"/>
    <col min="22" max="22" width="10.42578125" style="325" customWidth="1"/>
    <col min="23" max="23" width="15.28515625" style="327" customWidth="1"/>
    <col min="24" max="24" width="0.85546875" style="324" customWidth="1"/>
    <col min="25" max="25" width="13.7109375" style="328" customWidth="1"/>
    <col min="26" max="26" width="0.85546875" style="324" customWidth="1"/>
    <col min="27" max="27" width="13.7109375" style="328" customWidth="1"/>
    <col min="28" max="28" width="0.85546875" style="324" customWidth="1"/>
    <col min="29" max="29" width="13.7109375" style="328" customWidth="1"/>
    <col min="30" max="30" width="0.85546875" style="324" customWidth="1"/>
    <col min="31" max="32" width="9.140625" style="302"/>
    <col min="33" max="33" width="11.28515625" style="329" customWidth="1"/>
    <col min="34" max="34" width="0.85546875" style="324" customWidth="1"/>
    <col min="35" max="36" width="9.140625" style="302"/>
    <col min="37" max="37" width="11.28515625" style="329" customWidth="1"/>
    <col min="38" max="38" width="0.85546875" style="324" customWidth="1"/>
    <col min="39" max="39" width="22.42578125" style="326" bestFit="1" customWidth="1"/>
    <col min="40" max="40" width="5.5703125" style="324" customWidth="1"/>
    <col min="41" max="41" width="14.42578125" style="330" customWidth="1"/>
    <col min="42" max="42" width="14.140625" style="330" customWidth="1"/>
    <col min="43" max="43" width="13.5703125" style="330" customWidth="1"/>
    <col min="44" max="44" width="9.140625" style="331"/>
    <col min="45" max="16384" width="9.140625" style="324"/>
  </cols>
  <sheetData>
    <row r="1" spans="1:45" x14ac:dyDescent="0.2">
      <c r="A1" s="323" t="s">
        <v>462</v>
      </c>
    </row>
    <row r="2" spans="1:45" x14ac:dyDescent="0.2">
      <c r="Y2" s="333" t="s">
        <v>463</v>
      </c>
      <c r="Z2" s="334"/>
      <c r="AA2" s="335"/>
      <c r="AB2" s="334"/>
      <c r="AC2" s="336"/>
    </row>
    <row r="3" spans="1:45" s="337" customFormat="1" x14ac:dyDescent="0.2">
      <c r="A3" s="323" t="s">
        <v>464</v>
      </c>
      <c r="D3" s="338"/>
      <c r="E3" s="339" t="s">
        <v>465</v>
      </c>
      <c r="F3" s="339"/>
      <c r="G3" s="339"/>
      <c r="H3" s="339"/>
      <c r="I3" s="339"/>
      <c r="J3" s="340"/>
      <c r="K3" s="339"/>
      <c r="L3" s="339"/>
      <c r="M3" s="339"/>
      <c r="N3" s="339"/>
      <c r="O3" s="340"/>
      <c r="P3" s="341"/>
      <c r="Q3" s="342" t="s">
        <v>466</v>
      </c>
      <c r="R3" s="342"/>
      <c r="S3" s="343"/>
      <c r="T3" s="341"/>
      <c r="U3" s="342" t="s">
        <v>467</v>
      </c>
      <c r="V3" s="342"/>
      <c r="W3" s="344"/>
      <c r="X3" s="345"/>
      <c r="Y3" s="346" t="s">
        <v>286</v>
      </c>
      <c r="Z3" s="345"/>
      <c r="AA3" s="346" t="s">
        <v>468</v>
      </c>
      <c r="AB3" s="345"/>
      <c r="AC3" s="346" t="s">
        <v>469</v>
      </c>
      <c r="AD3" s="345"/>
      <c r="AE3" s="347" t="s">
        <v>470</v>
      </c>
      <c r="AF3" s="347"/>
      <c r="AG3" s="348"/>
      <c r="AH3" s="345"/>
      <c r="AI3" s="347" t="s">
        <v>359</v>
      </c>
      <c r="AJ3" s="347"/>
      <c r="AK3" s="348"/>
      <c r="AL3" s="345"/>
      <c r="AM3" s="349" t="s">
        <v>471</v>
      </c>
      <c r="AN3" s="350"/>
      <c r="AO3" s="351"/>
      <c r="AP3" s="351"/>
      <c r="AQ3" s="351"/>
      <c r="AR3" s="352"/>
    </row>
    <row r="4" spans="1:45" x14ac:dyDescent="0.2">
      <c r="D4" s="353"/>
      <c r="E4" s="354"/>
      <c r="F4" s="354"/>
      <c r="G4" s="354"/>
      <c r="H4" s="354"/>
      <c r="I4" s="354"/>
      <c r="J4" s="355"/>
      <c r="K4" s="354"/>
      <c r="L4" s="354"/>
      <c r="M4" s="354"/>
      <c r="N4" s="354"/>
      <c r="O4" s="355"/>
      <c r="P4" s="356"/>
      <c r="Q4" s="354"/>
      <c r="R4" s="354"/>
      <c r="S4" s="355"/>
      <c r="T4" s="356"/>
      <c r="U4" s="354"/>
      <c r="V4" s="354"/>
      <c r="W4" s="357"/>
      <c r="X4" s="358"/>
      <c r="Y4" s="359"/>
      <c r="Z4" s="358"/>
      <c r="AA4" s="359"/>
      <c r="AB4" s="358"/>
      <c r="AC4" s="359"/>
      <c r="AD4" s="358"/>
      <c r="AE4" s="360"/>
      <c r="AF4" s="360"/>
      <c r="AG4" s="361"/>
      <c r="AH4" s="358"/>
      <c r="AI4" s="360"/>
      <c r="AJ4" s="360"/>
      <c r="AK4" s="361"/>
      <c r="AL4" s="358"/>
      <c r="AM4" s="355"/>
      <c r="AN4" s="362"/>
    </row>
    <row r="5" spans="1:45" s="374" customFormat="1" ht="51" x14ac:dyDescent="0.2">
      <c r="A5" s="363" t="s">
        <v>472</v>
      </c>
      <c r="B5" s="363" t="s">
        <v>473</v>
      </c>
      <c r="C5" s="363" t="s">
        <v>474</v>
      </c>
      <c r="D5" s="364"/>
      <c r="E5" s="363" t="s">
        <v>475</v>
      </c>
      <c r="F5" s="363" t="s">
        <v>476</v>
      </c>
      <c r="G5" s="365" t="s">
        <v>477</v>
      </c>
      <c r="H5" s="365" t="s">
        <v>478</v>
      </c>
      <c r="I5" s="365" t="s">
        <v>479</v>
      </c>
      <c r="J5" s="366" t="s">
        <v>480</v>
      </c>
      <c r="K5" s="363" t="s">
        <v>481</v>
      </c>
      <c r="L5" s="363" t="s">
        <v>482</v>
      </c>
      <c r="M5" s="363" t="s">
        <v>483</v>
      </c>
      <c r="N5" s="367" t="s">
        <v>484</v>
      </c>
      <c r="O5" s="368" t="s">
        <v>485</v>
      </c>
      <c r="P5" s="364"/>
      <c r="Q5" s="363" t="s">
        <v>486</v>
      </c>
      <c r="R5" s="363" t="s">
        <v>487</v>
      </c>
      <c r="S5" s="368" t="s">
        <v>488</v>
      </c>
      <c r="T5" s="364"/>
      <c r="U5" s="363" t="s">
        <v>489</v>
      </c>
      <c r="V5" s="363" t="s">
        <v>487</v>
      </c>
      <c r="W5" s="369" t="s">
        <v>490</v>
      </c>
      <c r="X5" s="364"/>
      <c r="Y5" s="370" t="s">
        <v>491</v>
      </c>
      <c r="Z5" s="364"/>
      <c r="AA5" s="370" t="s">
        <v>492</v>
      </c>
      <c r="AB5" s="364"/>
      <c r="AC5" s="370" t="s">
        <v>913</v>
      </c>
      <c r="AD5" s="364"/>
      <c r="AE5" s="363" t="s">
        <v>494</v>
      </c>
      <c r="AF5" s="363" t="s">
        <v>495</v>
      </c>
      <c r="AG5" s="368" t="s">
        <v>496</v>
      </c>
      <c r="AH5" s="364"/>
      <c r="AI5" s="363" t="s">
        <v>497</v>
      </c>
      <c r="AJ5" s="363" t="s">
        <v>487</v>
      </c>
      <c r="AK5" s="368" t="s">
        <v>498</v>
      </c>
      <c r="AL5" s="364"/>
      <c r="AM5" s="368" t="s">
        <v>499</v>
      </c>
      <c r="AN5" s="371"/>
      <c r="AO5" s="372" t="s">
        <v>1138</v>
      </c>
      <c r="AP5" s="372" t="s">
        <v>501</v>
      </c>
      <c r="AQ5" s="372" t="s">
        <v>502</v>
      </c>
      <c r="AR5" s="373"/>
    </row>
    <row r="6" spans="1:45" x14ac:dyDescent="0.2">
      <c r="A6" s="375"/>
      <c r="B6" s="332"/>
      <c r="C6" s="332"/>
      <c r="D6" s="376"/>
      <c r="E6" s="377"/>
      <c r="F6" s="378"/>
      <c r="G6" s="377"/>
      <c r="H6" s="377"/>
      <c r="I6" s="377"/>
      <c r="J6" s="379"/>
      <c r="K6" s="377"/>
      <c r="L6" s="377"/>
      <c r="M6" s="377"/>
      <c r="N6" s="377"/>
      <c r="O6" s="379"/>
      <c r="P6" s="380"/>
      <c r="Q6" s="377"/>
      <c r="R6" s="377"/>
      <c r="S6" s="379"/>
      <c r="T6" s="380"/>
      <c r="U6" s="377"/>
      <c r="V6" s="377"/>
      <c r="W6" s="381"/>
      <c r="X6" s="376"/>
      <c r="Y6" s="382"/>
      <c r="Z6" s="376"/>
      <c r="AA6" s="383"/>
      <c r="AB6" s="376"/>
      <c r="AC6" s="383"/>
      <c r="AD6" s="376"/>
      <c r="AE6" s="377"/>
      <c r="AF6" s="377"/>
      <c r="AG6" s="379"/>
      <c r="AH6" s="376"/>
      <c r="AI6" s="377"/>
      <c r="AJ6" s="377"/>
      <c r="AK6" s="379"/>
      <c r="AL6" s="376"/>
      <c r="AM6" s="384"/>
      <c r="AN6" s="385"/>
    </row>
    <row r="7" spans="1:45" ht="15" x14ac:dyDescent="0.25">
      <c r="A7" s="375" t="s">
        <v>45</v>
      </c>
      <c r="B7" s="332" t="s">
        <v>503</v>
      </c>
      <c r="C7" s="332">
        <v>2443</v>
      </c>
      <c r="D7" s="376"/>
      <c r="E7" s="386">
        <v>988</v>
      </c>
      <c r="F7" s="387">
        <f t="shared" ref="F7:F54" si="0">E7*30</f>
        <v>29640</v>
      </c>
      <c r="G7" s="387">
        <v>9360</v>
      </c>
      <c r="H7" s="387">
        <v>10920</v>
      </c>
      <c r="I7" s="387">
        <v>9360</v>
      </c>
      <c r="J7" s="388">
        <f>SUM(G7:I7)</f>
        <v>29640</v>
      </c>
      <c r="K7" s="389">
        <f t="shared" ref="K7:K54" si="1">F7-J7</f>
        <v>0</v>
      </c>
      <c r="L7" s="389">
        <f t="shared" ref="L7:L54" si="2">IF(K7&lt;0,F7,J7)</f>
        <v>29640</v>
      </c>
      <c r="M7" s="389" t="s">
        <v>504</v>
      </c>
      <c r="N7" s="389">
        <v>3.5636999999999999</v>
      </c>
      <c r="O7" s="390">
        <f t="shared" ref="O7:O54" si="3">ROUND(N7*L7,0)</f>
        <v>105628</v>
      </c>
      <c r="P7" s="380"/>
      <c r="Q7" s="391">
        <v>1005</v>
      </c>
      <c r="R7" s="389">
        <v>0.2036</v>
      </c>
      <c r="S7" s="390">
        <f t="shared" ref="S7:S54" si="4">Q7*R7*38</f>
        <v>7775.4839999999995</v>
      </c>
      <c r="T7" s="380"/>
      <c r="U7" s="392">
        <v>9.473684210526315</v>
      </c>
      <c r="V7" s="389">
        <v>1.7611399999999999</v>
      </c>
      <c r="W7" s="393">
        <f t="shared" ref="W7:W54" si="5">U7*V7*38</f>
        <v>634.01039999999989</v>
      </c>
      <c r="X7" s="376"/>
      <c r="Y7" s="394"/>
      <c r="Z7" s="395"/>
      <c r="AA7" s="396"/>
      <c r="AB7" s="395"/>
      <c r="AC7" s="397"/>
      <c r="AD7" s="376"/>
      <c r="AE7" s="398"/>
      <c r="AF7" s="399"/>
      <c r="AG7" s="400">
        <f t="shared" ref="AG7:AG54" si="6">AF7*AE7</f>
        <v>0</v>
      </c>
      <c r="AH7" s="376"/>
      <c r="AI7" s="392">
        <v>25.263157894736842</v>
      </c>
      <c r="AJ7" s="389">
        <v>0.2036</v>
      </c>
      <c r="AK7" s="390">
        <f t="shared" ref="AK7:AK54" si="7">AJ7*AI7*38</f>
        <v>195.45599999999999</v>
      </c>
      <c r="AL7" s="376"/>
      <c r="AM7" s="401">
        <f t="shared" ref="AM7:AM54" si="8">SUM(AK7,AG7,W7,S7,O7,Y7,AA7,AC7)</f>
        <v>114232.9504</v>
      </c>
      <c r="AN7" s="385"/>
      <c r="AO7" s="402">
        <f>VLOOKUP(C7,'Prior Year Adj 13-14'!C:AZ,50,FALSE)</f>
        <v>-3282.7161999999953</v>
      </c>
      <c r="AP7" s="402"/>
      <c r="AQ7" s="402">
        <f>AP7+AO7+AM7</f>
        <v>110950.23420000001</v>
      </c>
      <c r="AS7" s="678"/>
    </row>
    <row r="8" spans="1:45" ht="15" x14ac:dyDescent="0.25">
      <c r="A8" s="375" t="s">
        <v>47</v>
      </c>
      <c r="B8" s="332" t="s">
        <v>505</v>
      </c>
      <c r="C8" s="332">
        <v>2629</v>
      </c>
      <c r="D8" s="376"/>
      <c r="E8" s="403">
        <v>1482</v>
      </c>
      <c r="F8" s="387">
        <f t="shared" si="0"/>
        <v>44460</v>
      </c>
      <c r="G8" s="387">
        <v>14040</v>
      </c>
      <c r="H8" s="387">
        <v>12600</v>
      </c>
      <c r="I8" s="387">
        <v>14040</v>
      </c>
      <c r="J8" s="388">
        <f t="shared" ref="J8:J54" si="9">SUM(G8:I8)</f>
        <v>40680</v>
      </c>
      <c r="K8" s="387">
        <f t="shared" si="1"/>
        <v>3780</v>
      </c>
      <c r="L8" s="387">
        <f t="shared" si="2"/>
        <v>40680</v>
      </c>
      <c r="M8" s="387" t="s">
        <v>504</v>
      </c>
      <c r="N8" s="389">
        <v>3.5636999999999999</v>
      </c>
      <c r="O8" s="404">
        <f t="shared" si="3"/>
        <v>144971</v>
      </c>
      <c r="P8" s="380"/>
      <c r="Q8" s="391">
        <v>3345</v>
      </c>
      <c r="R8" s="387">
        <v>0.2036</v>
      </c>
      <c r="S8" s="404">
        <f t="shared" si="4"/>
        <v>25879.596000000001</v>
      </c>
      <c r="T8" s="380"/>
      <c r="U8" s="392">
        <v>23.684210526315791</v>
      </c>
      <c r="V8" s="387">
        <v>1.7611399999999999</v>
      </c>
      <c r="W8" s="405">
        <f t="shared" si="5"/>
        <v>1585.0260000000001</v>
      </c>
      <c r="X8" s="376"/>
      <c r="Y8" s="394"/>
      <c r="Z8" s="395"/>
      <c r="AA8" s="406"/>
      <c r="AB8" s="395"/>
      <c r="AC8" s="407"/>
      <c r="AD8" s="376"/>
      <c r="AE8" s="408"/>
      <c r="AF8" s="409"/>
      <c r="AG8" s="410">
        <f t="shared" si="6"/>
        <v>0</v>
      </c>
      <c r="AH8" s="376"/>
      <c r="AI8" s="392">
        <v>873.15789473684208</v>
      </c>
      <c r="AJ8" s="387">
        <v>0.2036</v>
      </c>
      <c r="AK8" s="404">
        <f t="shared" si="7"/>
        <v>6755.4479999999994</v>
      </c>
      <c r="AL8" s="376"/>
      <c r="AM8" s="411">
        <f t="shared" si="8"/>
        <v>179191.07</v>
      </c>
      <c r="AN8" s="385"/>
      <c r="AO8" s="402">
        <f>VLOOKUP(C8,'Prior Year Adj 13-14'!C:AZ,50,FALSE)</f>
        <v>8138.3441999999923</v>
      </c>
      <c r="AP8" s="402"/>
      <c r="AQ8" s="402">
        <f t="shared" ref="AQ8:AQ54" si="10">AP8+AO8+AM8</f>
        <v>187329.4142</v>
      </c>
      <c r="AS8" s="678"/>
    </row>
    <row r="9" spans="1:45" ht="15" x14ac:dyDescent="0.25">
      <c r="A9" s="375" t="s">
        <v>36</v>
      </c>
      <c r="B9" s="332" t="s">
        <v>506</v>
      </c>
      <c r="C9" s="332">
        <v>1014</v>
      </c>
      <c r="D9" s="376"/>
      <c r="E9" s="403">
        <v>1520</v>
      </c>
      <c r="F9" s="387">
        <f t="shared" si="0"/>
        <v>45600</v>
      </c>
      <c r="G9" s="387">
        <v>10800</v>
      </c>
      <c r="H9" s="387">
        <v>8400</v>
      </c>
      <c r="I9" s="387">
        <v>9900</v>
      </c>
      <c r="J9" s="388">
        <f t="shared" si="9"/>
        <v>29100</v>
      </c>
      <c r="K9" s="387">
        <f t="shared" si="1"/>
        <v>16500</v>
      </c>
      <c r="L9" s="387">
        <f t="shared" si="2"/>
        <v>29100</v>
      </c>
      <c r="M9" s="387" t="s">
        <v>507</v>
      </c>
      <c r="N9" s="324">
        <v>5.5246000000000004</v>
      </c>
      <c r="O9" s="404">
        <f t="shared" si="3"/>
        <v>160766</v>
      </c>
      <c r="P9" s="380"/>
      <c r="Q9" s="391">
        <v>1145.5263157894738</v>
      </c>
      <c r="R9" s="387">
        <v>0.2036</v>
      </c>
      <c r="S9" s="404">
        <f t="shared" si="4"/>
        <v>8862.7080000000005</v>
      </c>
      <c r="T9" s="380"/>
      <c r="U9" s="392">
        <v>48.94736842105263</v>
      </c>
      <c r="V9" s="387">
        <v>1.7611399999999999</v>
      </c>
      <c r="W9" s="405">
        <f t="shared" si="5"/>
        <v>3275.7203999999997</v>
      </c>
      <c r="X9" s="376"/>
      <c r="Y9" s="394"/>
      <c r="Z9" s="395"/>
      <c r="AA9" s="406"/>
      <c r="AB9" s="395"/>
      <c r="AC9" s="407">
        <v>0</v>
      </c>
      <c r="AD9" s="376"/>
      <c r="AE9" s="408">
        <v>1</v>
      </c>
      <c r="AF9" s="409">
        <v>100000</v>
      </c>
      <c r="AG9" s="410">
        <f t="shared" si="6"/>
        <v>100000</v>
      </c>
      <c r="AH9" s="376"/>
      <c r="AI9" s="392">
        <v>120</v>
      </c>
      <c r="AJ9" s="387">
        <v>0.2036</v>
      </c>
      <c r="AK9" s="404">
        <f t="shared" si="7"/>
        <v>928.41600000000005</v>
      </c>
      <c r="AL9" s="376"/>
      <c r="AM9" s="411">
        <f t="shared" si="8"/>
        <v>273832.8444</v>
      </c>
      <c r="AN9" s="385"/>
      <c r="AO9" s="402">
        <f>VLOOKUP(C9,'Prior Year Adj 13-14'!C:AZ,50,FALSE)</f>
        <v>3160.6417999999248</v>
      </c>
      <c r="AP9" s="402"/>
      <c r="AQ9" s="402">
        <f t="shared" si="10"/>
        <v>276993.48619999993</v>
      </c>
      <c r="AS9" s="678"/>
    </row>
    <row r="10" spans="1:45" ht="15" x14ac:dyDescent="0.25">
      <c r="A10" s="375" t="s">
        <v>50</v>
      </c>
      <c r="B10" s="332" t="s">
        <v>508</v>
      </c>
      <c r="C10" s="332">
        <v>2464</v>
      </c>
      <c r="D10" s="376"/>
      <c r="E10" s="403">
        <v>988</v>
      </c>
      <c r="F10" s="387">
        <f t="shared" si="0"/>
        <v>29640</v>
      </c>
      <c r="G10" s="387">
        <v>9360</v>
      </c>
      <c r="H10" s="387">
        <v>6930</v>
      </c>
      <c r="I10" s="387">
        <v>6840</v>
      </c>
      <c r="J10" s="388">
        <f t="shared" si="9"/>
        <v>23130</v>
      </c>
      <c r="K10" s="387">
        <f t="shared" si="1"/>
        <v>6510</v>
      </c>
      <c r="L10" s="387">
        <f t="shared" si="2"/>
        <v>23130</v>
      </c>
      <c r="M10" s="387" t="s">
        <v>504</v>
      </c>
      <c r="N10" s="389">
        <v>3.5636999999999999</v>
      </c>
      <c r="O10" s="404">
        <f t="shared" si="3"/>
        <v>82428</v>
      </c>
      <c r="P10" s="380"/>
      <c r="Q10" s="391">
        <v>356.05263157894734</v>
      </c>
      <c r="R10" s="387">
        <v>0.2036</v>
      </c>
      <c r="S10" s="404">
        <f t="shared" si="4"/>
        <v>2754.7079999999996</v>
      </c>
      <c r="T10" s="380"/>
      <c r="U10" s="392">
        <v>10.263157894736842</v>
      </c>
      <c r="V10" s="387">
        <v>1.7611399999999999</v>
      </c>
      <c r="W10" s="405">
        <f t="shared" si="5"/>
        <v>686.8445999999999</v>
      </c>
      <c r="X10" s="376"/>
      <c r="Y10" s="394"/>
      <c r="Z10" s="395"/>
      <c r="AA10" s="406"/>
      <c r="AB10" s="395"/>
      <c r="AC10" s="407"/>
      <c r="AD10" s="376"/>
      <c r="AE10" s="408"/>
      <c r="AF10" s="409"/>
      <c r="AG10" s="410">
        <f t="shared" si="6"/>
        <v>0</v>
      </c>
      <c r="AH10" s="376"/>
      <c r="AI10" s="392">
        <v>0</v>
      </c>
      <c r="AJ10" s="387">
        <v>0.2036</v>
      </c>
      <c r="AK10" s="404">
        <f t="shared" si="7"/>
        <v>0</v>
      </c>
      <c r="AL10" s="376"/>
      <c r="AM10" s="411">
        <f t="shared" si="8"/>
        <v>85869.552599999995</v>
      </c>
      <c r="AN10" s="385"/>
      <c r="AO10" s="402">
        <f>VLOOKUP(C10,'Prior Year Adj 13-14'!C:AZ,50,FALSE)</f>
        <v>1564.2109999999957</v>
      </c>
      <c r="AP10" s="402"/>
      <c r="AQ10" s="402">
        <f t="shared" si="10"/>
        <v>87433.763599999991</v>
      </c>
      <c r="AS10" s="678"/>
    </row>
    <row r="11" spans="1:45" ht="15" x14ac:dyDescent="0.25">
      <c r="A11" s="375" t="s">
        <v>51</v>
      </c>
      <c r="B11" s="332" t="s">
        <v>509</v>
      </c>
      <c r="C11" s="332">
        <v>2004</v>
      </c>
      <c r="D11" s="376"/>
      <c r="E11" s="403">
        <v>1976</v>
      </c>
      <c r="F11" s="387">
        <f t="shared" si="0"/>
        <v>59280</v>
      </c>
      <c r="G11" s="387">
        <v>7740</v>
      </c>
      <c r="H11" s="387">
        <v>4410</v>
      </c>
      <c r="I11" s="387">
        <v>4500</v>
      </c>
      <c r="J11" s="388">
        <f t="shared" si="9"/>
        <v>16650</v>
      </c>
      <c r="K11" s="387">
        <f t="shared" si="1"/>
        <v>42630</v>
      </c>
      <c r="L11" s="387">
        <f t="shared" si="2"/>
        <v>16650</v>
      </c>
      <c r="M11" s="387" t="s">
        <v>504</v>
      </c>
      <c r="N11" s="389">
        <v>3.5636999999999999</v>
      </c>
      <c r="O11" s="404">
        <f t="shared" si="3"/>
        <v>59336</v>
      </c>
      <c r="P11" s="380"/>
      <c r="Q11" s="391">
        <v>1780.2631578947367</v>
      </c>
      <c r="R11" s="387">
        <v>0.2036</v>
      </c>
      <c r="S11" s="404">
        <f t="shared" si="4"/>
        <v>13773.539999999997</v>
      </c>
      <c r="T11" s="380"/>
      <c r="U11" s="392">
        <v>39.473684210526315</v>
      </c>
      <c r="V11" s="387">
        <v>1.7611399999999999</v>
      </c>
      <c r="W11" s="405">
        <f t="shared" si="5"/>
        <v>2641.71</v>
      </c>
      <c r="X11" s="376"/>
      <c r="Y11" s="394"/>
      <c r="Z11" s="395"/>
      <c r="AA11" s="406"/>
      <c r="AB11" s="395"/>
      <c r="AC11" s="407"/>
      <c r="AD11" s="376"/>
      <c r="AE11" s="408"/>
      <c r="AF11" s="409"/>
      <c r="AG11" s="410">
        <f t="shared" si="6"/>
        <v>0</v>
      </c>
      <c r="AH11" s="376"/>
      <c r="AI11" s="392">
        <v>34.736842105263158</v>
      </c>
      <c r="AJ11" s="387">
        <v>0.2036</v>
      </c>
      <c r="AK11" s="404">
        <f t="shared" si="7"/>
        <v>268.75200000000001</v>
      </c>
      <c r="AL11" s="376"/>
      <c r="AM11" s="411">
        <f t="shared" si="8"/>
        <v>76020.001999999993</v>
      </c>
      <c r="AN11" s="385"/>
      <c r="AO11" s="402">
        <f>VLOOKUP(C11,'Prior Year Adj 13-14'!C:AZ,50,FALSE)</f>
        <v>-20167.413999999975</v>
      </c>
      <c r="AP11" s="402"/>
      <c r="AQ11" s="402">
        <f t="shared" si="10"/>
        <v>55852.588000000018</v>
      </c>
      <c r="AS11" s="678"/>
    </row>
    <row r="12" spans="1:45" ht="15" x14ac:dyDescent="0.25">
      <c r="A12" s="375" t="s">
        <v>52</v>
      </c>
      <c r="B12" s="332" t="s">
        <v>510</v>
      </c>
      <c r="C12" s="332">
        <v>2405</v>
      </c>
      <c r="D12" s="376"/>
      <c r="E12" s="403">
        <v>988</v>
      </c>
      <c r="F12" s="387">
        <f t="shared" si="0"/>
        <v>29640</v>
      </c>
      <c r="G12" s="387">
        <v>9360</v>
      </c>
      <c r="H12" s="387">
        <v>5040</v>
      </c>
      <c r="I12" s="387">
        <v>5040</v>
      </c>
      <c r="J12" s="388">
        <f t="shared" si="9"/>
        <v>19440</v>
      </c>
      <c r="K12" s="387">
        <f t="shared" si="1"/>
        <v>10200</v>
      </c>
      <c r="L12" s="387">
        <f t="shared" si="2"/>
        <v>19440</v>
      </c>
      <c r="M12" s="387" t="s">
        <v>504</v>
      </c>
      <c r="N12" s="389">
        <v>3.5636999999999999</v>
      </c>
      <c r="O12" s="404">
        <f t="shared" si="3"/>
        <v>69278</v>
      </c>
      <c r="P12" s="380"/>
      <c r="Q12" s="391">
        <v>1271.0526315789473</v>
      </c>
      <c r="R12" s="387">
        <v>0.2036</v>
      </c>
      <c r="S12" s="404">
        <f t="shared" si="4"/>
        <v>9833.880000000001</v>
      </c>
      <c r="T12" s="380"/>
      <c r="U12" s="392">
        <v>33.94736842105263</v>
      </c>
      <c r="V12" s="387">
        <v>1.7611399999999999</v>
      </c>
      <c r="W12" s="405">
        <f t="shared" si="5"/>
        <v>2271.8705999999997</v>
      </c>
      <c r="X12" s="376"/>
      <c r="Y12" s="394"/>
      <c r="Z12" s="395"/>
      <c r="AA12" s="406"/>
      <c r="AB12" s="395"/>
      <c r="AC12" s="407"/>
      <c r="AD12" s="376"/>
      <c r="AE12" s="408"/>
      <c r="AF12" s="409"/>
      <c r="AG12" s="410">
        <f t="shared" si="6"/>
        <v>0</v>
      </c>
      <c r="AH12" s="376"/>
      <c r="AI12" s="392">
        <v>248.68421052631578</v>
      </c>
      <c r="AJ12" s="387">
        <v>0.2036</v>
      </c>
      <c r="AK12" s="404">
        <f t="shared" si="7"/>
        <v>1924.02</v>
      </c>
      <c r="AL12" s="376"/>
      <c r="AM12" s="411">
        <f t="shared" si="8"/>
        <v>83307.770600000003</v>
      </c>
      <c r="AN12" s="385"/>
      <c r="AO12" s="402">
        <f>VLOOKUP(C12,'Prior Year Adj 13-14'!C:AZ,50,FALSE)</f>
        <v>7537.5277999999962</v>
      </c>
      <c r="AP12" s="402"/>
      <c r="AQ12" s="402">
        <f t="shared" si="10"/>
        <v>90845.2984</v>
      </c>
      <c r="AS12" s="678"/>
    </row>
    <row r="13" spans="1:45" ht="15" x14ac:dyDescent="0.25">
      <c r="A13" s="412" t="s">
        <v>434</v>
      </c>
      <c r="B13" s="332" t="s">
        <v>912</v>
      </c>
      <c r="C13" s="413">
        <v>4177</v>
      </c>
      <c r="D13" s="376"/>
      <c r="E13" s="403">
        <f>26*38</f>
        <v>988</v>
      </c>
      <c r="F13" s="387">
        <f t="shared" si="0"/>
        <v>29640</v>
      </c>
      <c r="G13" s="387">
        <v>4680</v>
      </c>
      <c r="H13" s="387">
        <v>4200</v>
      </c>
      <c r="I13" s="387">
        <v>4680</v>
      </c>
      <c r="J13" s="388">
        <f t="shared" si="9"/>
        <v>13560</v>
      </c>
      <c r="K13" s="387">
        <f t="shared" si="1"/>
        <v>16080</v>
      </c>
      <c r="L13" s="387">
        <f t="shared" si="2"/>
        <v>13560</v>
      </c>
      <c r="M13" s="414" t="s">
        <v>504</v>
      </c>
      <c r="N13" s="389">
        <v>3.5636999999999999</v>
      </c>
      <c r="O13" s="404">
        <f t="shared" si="3"/>
        <v>48324</v>
      </c>
      <c r="P13" s="380"/>
      <c r="Q13" s="391">
        <f>1318/2</f>
        <v>659</v>
      </c>
      <c r="R13" s="387">
        <v>0.2036</v>
      </c>
      <c r="S13" s="404">
        <f t="shared" si="4"/>
        <v>5098.5512000000008</v>
      </c>
      <c r="T13" s="380"/>
      <c r="U13" s="392">
        <v>10</v>
      </c>
      <c r="V13" s="387">
        <v>1.7611399999999999</v>
      </c>
      <c r="W13" s="405">
        <f t="shared" si="5"/>
        <v>669.23320000000001</v>
      </c>
      <c r="X13" s="376"/>
      <c r="Y13" s="394"/>
      <c r="Z13" s="395"/>
      <c r="AA13" s="406"/>
      <c r="AB13" s="395"/>
      <c r="AC13" s="407"/>
      <c r="AD13" s="376"/>
      <c r="AE13" s="408"/>
      <c r="AF13" s="409"/>
      <c r="AG13" s="410">
        <f t="shared" si="6"/>
        <v>0</v>
      </c>
      <c r="AH13" s="376"/>
      <c r="AI13" s="392">
        <v>18</v>
      </c>
      <c r="AJ13" s="387">
        <v>0.2036</v>
      </c>
      <c r="AK13" s="404">
        <f t="shared" si="7"/>
        <v>139.26240000000001</v>
      </c>
      <c r="AL13" s="376"/>
      <c r="AM13" s="411">
        <f t="shared" si="8"/>
        <v>54231.046800000004</v>
      </c>
      <c r="AN13" s="385"/>
      <c r="AO13" s="402">
        <f>VLOOKUP(C13,'Prior Year Adj 13-14'!C:AZ,50,FALSE)</f>
        <v>0</v>
      </c>
      <c r="AP13" s="402"/>
      <c r="AQ13" s="402">
        <f t="shared" si="10"/>
        <v>54231.046800000004</v>
      </c>
      <c r="AS13" s="678"/>
    </row>
    <row r="14" spans="1:45" ht="15" x14ac:dyDescent="0.25">
      <c r="A14" s="375" t="s">
        <v>53</v>
      </c>
      <c r="B14" s="332" t="s">
        <v>511</v>
      </c>
      <c r="C14" s="332">
        <v>3525</v>
      </c>
      <c r="D14" s="376"/>
      <c r="E14" s="403">
        <v>1482</v>
      </c>
      <c r="F14" s="387">
        <f t="shared" si="0"/>
        <v>44460</v>
      </c>
      <c r="G14" s="387">
        <v>9360</v>
      </c>
      <c r="H14" s="387">
        <v>6300</v>
      </c>
      <c r="I14" s="387">
        <v>7560</v>
      </c>
      <c r="J14" s="388">
        <f t="shared" si="9"/>
        <v>23220</v>
      </c>
      <c r="K14" s="387">
        <f t="shared" si="1"/>
        <v>21240</v>
      </c>
      <c r="L14" s="387">
        <f t="shared" si="2"/>
        <v>23220</v>
      </c>
      <c r="M14" s="387" t="s">
        <v>504</v>
      </c>
      <c r="N14" s="389">
        <v>3.5636999999999999</v>
      </c>
      <c r="O14" s="404">
        <f t="shared" si="3"/>
        <v>82749</v>
      </c>
      <c r="P14" s="380"/>
      <c r="Q14" s="391">
        <v>588.47368421052636</v>
      </c>
      <c r="R14" s="387">
        <v>0.2036</v>
      </c>
      <c r="S14" s="404">
        <f t="shared" si="4"/>
        <v>4552.9032000000007</v>
      </c>
      <c r="T14" s="380"/>
      <c r="U14" s="392">
        <v>4.7368421052631575</v>
      </c>
      <c r="V14" s="387">
        <v>1.7611399999999999</v>
      </c>
      <c r="W14" s="405">
        <f t="shared" si="5"/>
        <v>317.00519999999995</v>
      </c>
      <c r="X14" s="376"/>
      <c r="Y14" s="394"/>
      <c r="Z14" s="395"/>
      <c r="AA14" s="406"/>
      <c r="AB14" s="395"/>
      <c r="AC14" s="407"/>
      <c r="AD14" s="376"/>
      <c r="AE14" s="408"/>
      <c r="AF14" s="409"/>
      <c r="AG14" s="410">
        <f t="shared" si="6"/>
        <v>0</v>
      </c>
      <c r="AH14" s="376"/>
      <c r="AI14" s="392">
        <v>57.157894736842103</v>
      </c>
      <c r="AJ14" s="387">
        <v>0.2036</v>
      </c>
      <c r="AK14" s="404">
        <f t="shared" si="7"/>
        <v>442.2192</v>
      </c>
      <c r="AL14" s="376"/>
      <c r="AM14" s="411">
        <f t="shared" si="8"/>
        <v>88061.127600000007</v>
      </c>
      <c r="AN14" s="385"/>
      <c r="AO14" s="402">
        <f>VLOOKUP(C14,'Prior Year Adj 13-14'!C:AZ,50,FALSE)</f>
        <v>-15103.308199999999</v>
      </c>
      <c r="AP14" s="402"/>
      <c r="AQ14" s="402">
        <f t="shared" si="10"/>
        <v>72957.819400000008</v>
      </c>
      <c r="AS14" s="678"/>
    </row>
    <row r="15" spans="1:45" ht="15" x14ac:dyDescent="0.25">
      <c r="A15" s="415" t="s">
        <v>54</v>
      </c>
      <c r="B15" s="331" t="s">
        <v>512</v>
      </c>
      <c r="C15" s="331">
        <v>5201</v>
      </c>
      <c r="D15" s="376"/>
      <c r="E15" s="403">
        <v>988</v>
      </c>
      <c r="F15" s="387">
        <f t="shared" si="0"/>
        <v>29640</v>
      </c>
      <c r="G15" s="387">
        <v>9360</v>
      </c>
      <c r="H15" s="387">
        <v>10920</v>
      </c>
      <c r="I15" s="387">
        <v>9360</v>
      </c>
      <c r="J15" s="388">
        <f t="shared" si="9"/>
        <v>29640</v>
      </c>
      <c r="K15" s="387">
        <f t="shared" si="1"/>
        <v>0</v>
      </c>
      <c r="L15" s="387">
        <f t="shared" si="2"/>
        <v>29640</v>
      </c>
      <c r="M15" s="387" t="s">
        <v>504</v>
      </c>
      <c r="N15" s="389">
        <v>3.5636999999999999</v>
      </c>
      <c r="O15" s="404">
        <f t="shared" si="3"/>
        <v>105628</v>
      </c>
      <c r="P15" s="380"/>
      <c r="Q15" s="391">
        <v>229.89473684210529</v>
      </c>
      <c r="R15" s="387">
        <v>0.2036</v>
      </c>
      <c r="S15" s="404">
        <f t="shared" si="4"/>
        <v>1778.6496000000002</v>
      </c>
      <c r="T15" s="380"/>
      <c r="U15" s="392">
        <v>10.263157894736842</v>
      </c>
      <c r="V15" s="387">
        <v>1.7611399999999999</v>
      </c>
      <c r="W15" s="405">
        <f t="shared" si="5"/>
        <v>686.8445999999999</v>
      </c>
      <c r="X15" s="376"/>
      <c r="Y15" s="394"/>
      <c r="Z15" s="395"/>
      <c r="AA15" s="406"/>
      <c r="AB15" s="395"/>
      <c r="AC15" s="407"/>
      <c r="AD15" s="376"/>
      <c r="AE15" s="408"/>
      <c r="AF15" s="409"/>
      <c r="AG15" s="410">
        <f t="shared" si="6"/>
        <v>0</v>
      </c>
      <c r="AH15" s="376"/>
      <c r="AI15" s="392">
        <v>0</v>
      </c>
      <c r="AJ15" s="387">
        <v>0.2036</v>
      </c>
      <c r="AK15" s="404">
        <f t="shared" si="7"/>
        <v>0</v>
      </c>
      <c r="AL15" s="376"/>
      <c r="AM15" s="411">
        <f t="shared" si="8"/>
        <v>108093.4942</v>
      </c>
      <c r="AN15" s="385"/>
      <c r="AO15" s="402">
        <f>VLOOKUP(C15,'Prior Year Adj 13-14'!C:AZ,50,FALSE)</f>
        <v>11334.48000000001</v>
      </c>
      <c r="AP15" s="402"/>
      <c r="AQ15" s="402">
        <f t="shared" si="10"/>
        <v>119427.97420000001</v>
      </c>
      <c r="AS15" s="678"/>
    </row>
    <row r="16" spans="1:45" ht="15" x14ac:dyDescent="0.25">
      <c r="A16" s="375" t="s">
        <v>157</v>
      </c>
      <c r="B16" s="332" t="s">
        <v>513</v>
      </c>
      <c r="C16" s="332">
        <v>2007</v>
      </c>
      <c r="D16" s="376"/>
      <c r="E16" s="403">
        <v>1976</v>
      </c>
      <c r="F16" s="387">
        <f t="shared" si="0"/>
        <v>59280</v>
      </c>
      <c r="G16" s="387">
        <v>7740</v>
      </c>
      <c r="H16" s="387">
        <v>7560</v>
      </c>
      <c r="I16" s="387">
        <v>8100</v>
      </c>
      <c r="J16" s="388">
        <f t="shared" si="9"/>
        <v>23400</v>
      </c>
      <c r="K16" s="387">
        <f t="shared" si="1"/>
        <v>35880</v>
      </c>
      <c r="L16" s="387">
        <f t="shared" si="2"/>
        <v>23400</v>
      </c>
      <c r="M16" s="387" t="s">
        <v>504</v>
      </c>
      <c r="N16" s="389">
        <v>3.5636999999999999</v>
      </c>
      <c r="O16" s="404">
        <f t="shared" si="3"/>
        <v>83391</v>
      </c>
      <c r="P16" s="380"/>
      <c r="Q16" s="391">
        <v>1096.578947368421</v>
      </c>
      <c r="R16" s="387">
        <v>0.2036</v>
      </c>
      <c r="S16" s="404">
        <f t="shared" si="4"/>
        <v>8484.0120000000006</v>
      </c>
      <c r="T16" s="380"/>
      <c r="U16" s="392">
        <v>37.89473684210526</v>
      </c>
      <c r="V16" s="387">
        <v>1.7611399999999999</v>
      </c>
      <c r="W16" s="405">
        <f t="shared" si="5"/>
        <v>2536.0415999999996</v>
      </c>
      <c r="X16" s="376"/>
      <c r="Y16" s="394"/>
      <c r="Z16" s="395"/>
      <c r="AA16" s="406"/>
      <c r="AB16" s="395"/>
      <c r="AC16" s="407"/>
      <c r="AD16" s="376"/>
      <c r="AE16" s="408"/>
      <c r="AF16" s="409"/>
      <c r="AG16" s="410">
        <f t="shared" si="6"/>
        <v>0</v>
      </c>
      <c r="AH16" s="376"/>
      <c r="AI16" s="392">
        <v>47.368421052631582</v>
      </c>
      <c r="AJ16" s="387">
        <v>0.2036</v>
      </c>
      <c r="AK16" s="404">
        <f t="shared" si="7"/>
        <v>366.48</v>
      </c>
      <c r="AL16" s="376"/>
      <c r="AM16" s="411">
        <f t="shared" si="8"/>
        <v>94777.533599999995</v>
      </c>
      <c r="AN16" s="385"/>
      <c r="AO16" s="402">
        <f>VLOOKUP(C16,'Prior Year Adj 13-14'!C:AZ,50,FALSE)</f>
        <v>-2735.337331600007</v>
      </c>
      <c r="AP16" s="402"/>
      <c r="AQ16" s="402">
        <f t="shared" si="10"/>
        <v>92042.196268399988</v>
      </c>
      <c r="AS16" s="678"/>
    </row>
    <row r="17" spans="1:45" ht="15" x14ac:dyDescent="0.25">
      <c r="A17" s="375" t="s">
        <v>56</v>
      </c>
      <c r="B17" s="332" t="s">
        <v>514</v>
      </c>
      <c r="C17" s="332">
        <v>2433</v>
      </c>
      <c r="D17" s="376"/>
      <c r="E17" s="403">
        <v>988</v>
      </c>
      <c r="F17" s="387">
        <f t="shared" si="0"/>
        <v>29640</v>
      </c>
      <c r="G17" s="387">
        <v>9360</v>
      </c>
      <c r="H17" s="387">
        <v>8400</v>
      </c>
      <c r="I17" s="387">
        <v>9360</v>
      </c>
      <c r="J17" s="388">
        <f t="shared" si="9"/>
        <v>27120</v>
      </c>
      <c r="K17" s="387">
        <f t="shared" si="1"/>
        <v>2520</v>
      </c>
      <c r="L17" s="387">
        <f t="shared" si="2"/>
        <v>27120</v>
      </c>
      <c r="M17" s="387" t="s">
        <v>504</v>
      </c>
      <c r="N17" s="389">
        <v>3.5636999999999999</v>
      </c>
      <c r="O17" s="404">
        <f t="shared" si="3"/>
        <v>96648</v>
      </c>
      <c r="P17" s="380"/>
      <c r="Q17" s="391">
        <v>893.4473684210526</v>
      </c>
      <c r="R17" s="387">
        <v>0.2036</v>
      </c>
      <c r="S17" s="404">
        <f t="shared" si="4"/>
        <v>6912.4236000000001</v>
      </c>
      <c r="T17" s="380"/>
      <c r="U17" s="392">
        <v>47.763157894736842</v>
      </c>
      <c r="V17" s="387">
        <v>1.7611399999999999</v>
      </c>
      <c r="W17" s="405">
        <f t="shared" si="5"/>
        <v>3196.4690999999998</v>
      </c>
      <c r="X17" s="376"/>
      <c r="Y17" s="394"/>
      <c r="Z17" s="395"/>
      <c r="AA17" s="406"/>
      <c r="AB17" s="395"/>
      <c r="AC17" s="407"/>
      <c r="AD17" s="376"/>
      <c r="AE17" s="408"/>
      <c r="AF17" s="409"/>
      <c r="AG17" s="410">
        <f t="shared" si="6"/>
        <v>0</v>
      </c>
      <c r="AH17" s="376"/>
      <c r="AI17" s="392">
        <v>23.684210526315791</v>
      </c>
      <c r="AJ17" s="387">
        <v>0.2036</v>
      </c>
      <c r="AK17" s="404">
        <f t="shared" si="7"/>
        <v>183.24</v>
      </c>
      <c r="AL17" s="376"/>
      <c r="AM17" s="411">
        <f t="shared" si="8"/>
        <v>106940.1327</v>
      </c>
      <c r="AN17" s="385"/>
      <c r="AO17" s="402">
        <f>VLOOKUP(C17,'Prior Year Adj 13-14'!C:AZ,50,FALSE)</f>
        <v>-982.81569999999192</v>
      </c>
      <c r="AP17" s="402"/>
      <c r="AQ17" s="402">
        <f t="shared" si="10"/>
        <v>105957.31700000001</v>
      </c>
      <c r="AS17" s="678"/>
    </row>
    <row r="18" spans="1:45" ht="15" x14ac:dyDescent="0.25">
      <c r="A18" s="375" t="s">
        <v>461</v>
      </c>
      <c r="B18" s="332" t="s">
        <v>515</v>
      </c>
      <c r="C18" s="332">
        <v>2447</v>
      </c>
      <c r="D18" s="376"/>
      <c r="E18" s="403">
        <v>988</v>
      </c>
      <c r="F18" s="387">
        <f t="shared" si="0"/>
        <v>29640</v>
      </c>
      <c r="G18" s="387">
        <v>10800</v>
      </c>
      <c r="H18" s="387">
        <v>12600</v>
      </c>
      <c r="I18" s="387">
        <v>10800</v>
      </c>
      <c r="J18" s="388">
        <f t="shared" si="9"/>
        <v>34200</v>
      </c>
      <c r="K18" s="416">
        <v>0</v>
      </c>
      <c r="L18" s="387">
        <f t="shared" si="2"/>
        <v>34200</v>
      </c>
      <c r="M18" s="387" t="s">
        <v>504</v>
      </c>
      <c r="N18" s="389">
        <v>3.5636999999999999</v>
      </c>
      <c r="O18" s="404">
        <f t="shared" si="3"/>
        <v>121879</v>
      </c>
      <c r="P18" s="380"/>
      <c r="Q18" s="391">
        <v>1317.6315789473683</v>
      </c>
      <c r="R18" s="387">
        <v>0.2036</v>
      </c>
      <c r="S18" s="404">
        <f t="shared" si="4"/>
        <v>10194.251999999999</v>
      </c>
      <c r="T18" s="380"/>
      <c r="U18" s="392">
        <v>19.736842105263158</v>
      </c>
      <c r="V18" s="387">
        <v>1.7611399999999999</v>
      </c>
      <c r="W18" s="405">
        <f t="shared" si="5"/>
        <v>1320.855</v>
      </c>
      <c r="X18" s="376"/>
      <c r="Y18" s="394"/>
      <c r="Z18" s="395"/>
      <c r="AA18" s="406"/>
      <c r="AB18" s="395"/>
      <c r="AC18" s="407"/>
      <c r="AD18" s="376"/>
      <c r="AE18" s="408"/>
      <c r="AF18" s="409"/>
      <c r="AG18" s="410">
        <f t="shared" si="6"/>
        <v>0</v>
      </c>
      <c r="AH18" s="376"/>
      <c r="AI18" s="392">
        <v>38.684210526315788</v>
      </c>
      <c r="AJ18" s="387">
        <v>0.2036</v>
      </c>
      <c r="AK18" s="404">
        <f t="shared" si="7"/>
        <v>299.29199999999997</v>
      </c>
      <c r="AL18" s="376"/>
      <c r="AM18" s="411">
        <f t="shared" si="8"/>
        <v>133693.399</v>
      </c>
      <c r="AN18" s="385"/>
      <c r="AO18" s="402">
        <f>VLOOKUP(C18,'Prior Year Adj 13-14'!C:AZ,50,FALSE)</f>
        <v>-12346.34139999999</v>
      </c>
      <c r="AP18" s="402"/>
      <c r="AQ18" s="402">
        <f t="shared" si="10"/>
        <v>121347.05760000001</v>
      </c>
      <c r="AS18" s="678"/>
    </row>
    <row r="19" spans="1:45" ht="15" x14ac:dyDescent="0.25">
      <c r="A19" s="375" t="s">
        <v>60</v>
      </c>
      <c r="B19" s="332" t="s">
        <v>516</v>
      </c>
      <c r="C19" s="332">
        <v>2512</v>
      </c>
      <c r="D19" s="376"/>
      <c r="E19" s="403">
        <v>570</v>
      </c>
      <c r="F19" s="387">
        <f t="shared" si="0"/>
        <v>17100</v>
      </c>
      <c r="G19" s="387">
        <v>5400</v>
      </c>
      <c r="H19" s="387">
        <v>3780</v>
      </c>
      <c r="I19" s="387">
        <v>5040</v>
      </c>
      <c r="J19" s="388">
        <f t="shared" si="9"/>
        <v>14220</v>
      </c>
      <c r="K19" s="387">
        <f t="shared" si="1"/>
        <v>2880</v>
      </c>
      <c r="L19" s="387">
        <f t="shared" si="2"/>
        <v>14220</v>
      </c>
      <c r="M19" s="387" t="s">
        <v>504</v>
      </c>
      <c r="N19" s="389">
        <v>3.5636999999999999</v>
      </c>
      <c r="O19" s="404">
        <f t="shared" si="3"/>
        <v>50676</v>
      </c>
      <c r="P19" s="380"/>
      <c r="Q19" s="391">
        <v>101.84210526315789</v>
      </c>
      <c r="R19" s="387">
        <v>0.2036</v>
      </c>
      <c r="S19" s="404">
        <f t="shared" si="4"/>
        <v>787.9319999999999</v>
      </c>
      <c r="T19" s="380"/>
      <c r="U19" s="392">
        <v>9.473684210526315</v>
      </c>
      <c r="V19" s="387">
        <v>1.7611399999999999</v>
      </c>
      <c r="W19" s="405">
        <f t="shared" si="5"/>
        <v>634.01039999999989</v>
      </c>
      <c r="X19" s="376"/>
      <c r="Y19" s="394"/>
      <c r="Z19" s="395"/>
      <c r="AA19" s="406"/>
      <c r="AB19" s="395"/>
      <c r="AC19" s="407"/>
      <c r="AD19" s="376"/>
      <c r="AE19" s="408"/>
      <c r="AF19" s="409"/>
      <c r="AG19" s="410">
        <f t="shared" si="6"/>
        <v>0</v>
      </c>
      <c r="AH19" s="376"/>
      <c r="AI19" s="392">
        <v>38.684210526315788</v>
      </c>
      <c r="AJ19" s="387">
        <v>0.2036</v>
      </c>
      <c r="AK19" s="404">
        <f t="shared" si="7"/>
        <v>299.29199999999997</v>
      </c>
      <c r="AL19" s="376"/>
      <c r="AM19" s="411">
        <f t="shared" si="8"/>
        <v>52397.234400000001</v>
      </c>
      <c r="AN19" s="385"/>
      <c r="AO19" s="402">
        <f>VLOOKUP(C19,'Prior Year Adj 13-14'!C:AZ,50,FALSE)</f>
        <v>-3700.9020000000019</v>
      </c>
      <c r="AP19" s="402"/>
      <c r="AQ19" s="402">
        <f t="shared" si="10"/>
        <v>48696.332399999999</v>
      </c>
      <c r="AS19" s="678"/>
    </row>
    <row r="20" spans="1:45" ht="15" x14ac:dyDescent="0.25">
      <c r="A20" s="375" t="s">
        <v>61</v>
      </c>
      <c r="B20" s="332" t="s">
        <v>517</v>
      </c>
      <c r="C20" s="332">
        <v>2456</v>
      </c>
      <c r="D20" s="376"/>
      <c r="E20" s="403">
        <v>988</v>
      </c>
      <c r="F20" s="387">
        <f t="shared" si="0"/>
        <v>29640</v>
      </c>
      <c r="G20" s="387">
        <v>9000</v>
      </c>
      <c r="H20" s="387">
        <v>8400</v>
      </c>
      <c r="I20" s="387">
        <v>9000</v>
      </c>
      <c r="J20" s="388">
        <f t="shared" si="9"/>
        <v>26400</v>
      </c>
      <c r="K20" s="387">
        <f t="shared" si="1"/>
        <v>3240</v>
      </c>
      <c r="L20" s="387">
        <f t="shared" si="2"/>
        <v>26400</v>
      </c>
      <c r="M20" s="387" t="s">
        <v>504</v>
      </c>
      <c r="N20" s="389">
        <v>3.5636999999999999</v>
      </c>
      <c r="O20" s="404">
        <f t="shared" si="3"/>
        <v>94082</v>
      </c>
      <c r="P20" s="380"/>
      <c r="Q20" s="391">
        <v>275.5263157894737</v>
      </c>
      <c r="R20" s="387">
        <v>0.2036</v>
      </c>
      <c r="S20" s="404">
        <f t="shared" si="4"/>
        <v>2131.692</v>
      </c>
      <c r="T20" s="380"/>
      <c r="U20" s="392">
        <v>5.5263157894736841</v>
      </c>
      <c r="V20" s="387">
        <v>1.7611399999999999</v>
      </c>
      <c r="W20" s="405">
        <f t="shared" si="5"/>
        <v>369.83939999999996</v>
      </c>
      <c r="X20" s="376"/>
      <c r="Y20" s="394"/>
      <c r="Z20" s="395"/>
      <c r="AA20" s="406"/>
      <c r="AB20" s="395"/>
      <c r="AC20" s="407"/>
      <c r="AD20" s="376"/>
      <c r="AE20" s="408"/>
      <c r="AF20" s="409"/>
      <c r="AG20" s="410">
        <f t="shared" si="6"/>
        <v>0</v>
      </c>
      <c r="AH20" s="376"/>
      <c r="AI20" s="392">
        <v>236.05263157894737</v>
      </c>
      <c r="AJ20" s="387">
        <v>0.2036</v>
      </c>
      <c r="AK20" s="404">
        <f t="shared" si="7"/>
        <v>1826.2919999999999</v>
      </c>
      <c r="AL20" s="376"/>
      <c r="AM20" s="411">
        <f t="shared" si="8"/>
        <v>98409.823399999994</v>
      </c>
      <c r="AN20" s="385"/>
      <c r="AO20" s="402">
        <f>VLOOKUP(C20,'Prior Year Adj 13-14'!C:AZ,50,FALSE)</f>
        <v>4217.8306000000011</v>
      </c>
      <c r="AP20" s="402"/>
      <c r="AQ20" s="402">
        <f t="shared" si="10"/>
        <v>102627.65399999999</v>
      </c>
      <c r="AS20" s="678"/>
    </row>
    <row r="21" spans="1:45" ht="15" x14ac:dyDescent="0.25">
      <c r="A21" s="375" t="s">
        <v>37</v>
      </c>
      <c r="B21" s="332" t="s">
        <v>518</v>
      </c>
      <c r="C21" s="332">
        <v>1017</v>
      </c>
      <c r="D21" s="376"/>
      <c r="E21" s="403">
        <v>1520</v>
      </c>
      <c r="F21" s="387">
        <f t="shared" si="0"/>
        <v>45600</v>
      </c>
      <c r="G21" s="387">
        <v>5040</v>
      </c>
      <c r="H21" s="387">
        <v>4410</v>
      </c>
      <c r="I21" s="387">
        <v>3780</v>
      </c>
      <c r="J21" s="388">
        <f t="shared" si="9"/>
        <v>13230</v>
      </c>
      <c r="K21" s="387">
        <f t="shared" si="1"/>
        <v>32370</v>
      </c>
      <c r="L21" s="387">
        <f t="shared" si="2"/>
        <v>13230</v>
      </c>
      <c r="M21" s="387" t="s">
        <v>507</v>
      </c>
      <c r="N21" s="324">
        <v>5.5246000000000004</v>
      </c>
      <c r="O21" s="404">
        <f t="shared" si="3"/>
        <v>73090</v>
      </c>
      <c r="P21" s="380"/>
      <c r="Q21" s="391">
        <v>698.05263157894728</v>
      </c>
      <c r="R21" s="387">
        <v>0.2036</v>
      </c>
      <c r="S21" s="404">
        <f t="shared" si="4"/>
        <v>5400.6935999999987</v>
      </c>
      <c r="T21" s="380"/>
      <c r="U21" s="392">
        <v>9.473684210526315</v>
      </c>
      <c r="V21" s="387">
        <v>1.7611399999999999</v>
      </c>
      <c r="W21" s="405">
        <f t="shared" si="5"/>
        <v>634.01039999999989</v>
      </c>
      <c r="X21" s="376"/>
      <c r="Y21" s="394"/>
      <c r="Z21" s="395"/>
      <c r="AA21" s="406"/>
      <c r="AB21" s="395"/>
      <c r="AC21" s="407">
        <v>2127</v>
      </c>
      <c r="AD21" s="376"/>
      <c r="AE21" s="408">
        <v>1</v>
      </c>
      <c r="AF21" s="409">
        <v>100000</v>
      </c>
      <c r="AG21" s="410">
        <f t="shared" si="6"/>
        <v>100000</v>
      </c>
      <c r="AH21" s="376"/>
      <c r="AI21" s="392">
        <v>130.73684210526315</v>
      </c>
      <c r="AJ21" s="387">
        <v>0.2036</v>
      </c>
      <c r="AK21" s="404">
        <f t="shared" si="7"/>
        <v>1011.4848</v>
      </c>
      <c r="AL21" s="376"/>
      <c r="AM21" s="411">
        <f t="shared" si="8"/>
        <v>182263.1888</v>
      </c>
      <c r="AN21" s="385"/>
      <c r="AO21" s="402">
        <f>VLOOKUP(C21,'Prior Year Adj 13-14'!C:AZ,50,FALSE)</f>
        <v>2787.7871999999916</v>
      </c>
      <c r="AP21" s="402"/>
      <c r="AQ21" s="402">
        <f t="shared" si="10"/>
        <v>185050.976</v>
      </c>
      <c r="AS21" s="678"/>
    </row>
    <row r="22" spans="1:45" ht="15" x14ac:dyDescent="0.25">
      <c r="A22" s="375" t="s">
        <v>62</v>
      </c>
      <c r="B22" s="332" t="s">
        <v>519</v>
      </c>
      <c r="C22" s="332">
        <v>2449</v>
      </c>
      <c r="D22" s="376"/>
      <c r="E22" s="403">
        <v>1482</v>
      </c>
      <c r="F22" s="387">
        <f t="shared" si="0"/>
        <v>44460</v>
      </c>
      <c r="G22" s="387">
        <v>14040</v>
      </c>
      <c r="H22" s="387">
        <v>16380</v>
      </c>
      <c r="I22" s="387">
        <v>14040</v>
      </c>
      <c r="J22" s="388">
        <f t="shared" si="9"/>
        <v>44460</v>
      </c>
      <c r="K22" s="387">
        <f t="shared" si="1"/>
        <v>0</v>
      </c>
      <c r="L22" s="387">
        <f t="shared" si="2"/>
        <v>44460</v>
      </c>
      <c r="M22" s="387" t="s">
        <v>504</v>
      </c>
      <c r="N22" s="389">
        <v>3.5636999999999999</v>
      </c>
      <c r="O22" s="404">
        <f t="shared" si="3"/>
        <v>158442</v>
      </c>
      <c r="P22" s="380"/>
      <c r="Q22" s="391">
        <v>714.07894736842104</v>
      </c>
      <c r="R22" s="387">
        <v>0.2036</v>
      </c>
      <c r="S22" s="404">
        <f t="shared" si="4"/>
        <v>5524.6859999999997</v>
      </c>
      <c r="T22" s="380"/>
      <c r="U22" s="392">
        <v>29.210526315789473</v>
      </c>
      <c r="V22" s="387">
        <v>1.7611399999999999</v>
      </c>
      <c r="W22" s="405">
        <f t="shared" si="5"/>
        <v>1954.8653999999999</v>
      </c>
      <c r="X22" s="376"/>
      <c r="Y22" s="394"/>
      <c r="Z22" s="395"/>
      <c r="AA22" s="406"/>
      <c r="AB22" s="395"/>
      <c r="AC22" s="407"/>
      <c r="AD22" s="376"/>
      <c r="AE22" s="408"/>
      <c r="AF22" s="409"/>
      <c r="AG22" s="410">
        <f t="shared" si="6"/>
        <v>0</v>
      </c>
      <c r="AH22" s="376"/>
      <c r="AI22" s="392">
        <v>37.89473684210526</v>
      </c>
      <c r="AJ22" s="387">
        <v>0.2036</v>
      </c>
      <c r="AK22" s="404">
        <f t="shared" si="7"/>
        <v>293.18399999999997</v>
      </c>
      <c r="AL22" s="376"/>
      <c r="AM22" s="411">
        <f t="shared" si="8"/>
        <v>166214.73540000001</v>
      </c>
      <c r="AN22" s="385"/>
      <c r="AO22" s="402">
        <f>VLOOKUP(C22,'Prior Year Adj 13-14'!C:AZ,50,FALSE)</f>
        <v>-4244.5101999999606</v>
      </c>
      <c r="AP22" s="402"/>
      <c r="AQ22" s="402">
        <f t="shared" si="10"/>
        <v>161970.22520000004</v>
      </c>
      <c r="AS22" s="678"/>
    </row>
    <row r="23" spans="1:45" ht="15" x14ac:dyDescent="0.25">
      <c r="A23" s="375" t="s">
        <v>38</v>
      </c>
      <c r="B23" s="332" t="s">
        <v>520</v>
      </c>
      <c r="C23" s="332">
        <v>1006</v>
      </c>
      <c r="D23" s="376"/>
      <c r="E23" s="403">
        <v>1976</v>
      </c>
      <c r="F23" s="387">
        <f t="shared" si="0"/>
        <v>59280</v>
      </c>
      <c r="G23" s="387">
        <v>14040</v>
      </c>
      <c r="H23" s="387">
        <v>10920</v>
      </c>
      <c r="I23" s="387">
        <v>11520</v>
      </c>
      <c r="J23" s="388">
        <f t="shared" si="9"/>
        <v>36480</v>
      </c>
      <c r="K23" s="387">
        <f t="shared" si="1"/>
        <v>22800</v>
      </c>
      <c r="L23" s="387">
        <f t="shared" si="2"/>
        <v>36480</v>
      </c>
      <c r="M23" s="387" t="s">
        <v>507</v>
      </c>
      <c r="N23" s="324">
        <v>5.5246000000000004</v>
      </c>
      <c r="O23" s="404">
        <f t="shared" si="3"/>
        <v>201537</v>
      </c>
      <c r="P23" s="380"/>
      <c r="Q23" s="391">
        <v>1424.921052631579</v>
      </c>
      <c r="R23" s="387">
        <v>0.2036</v>
      </c>
      <c r="S23" s="404">
        <f t="shared" si="4"/>
        <v>11024.3292</v>
      </c>
      <c r="T23" s="380"/>
      <c r="U23" s="392">
        <v>37.5</v>
      </c>
      <c r="V23" s="387">
        <v>1.7611399999999999</v>
      </c>
      <c r="W23" s="405">
        <f t="shared" si="5"/>
        <v>2509.6244999999999</v>
      </c>
      <c r="X23" s="376"/>
      <c r="Y23" s="394">
        <v>142055</v>
      </c>
      <c r="Z23" s="395"/>
      <c r="AA23" s="406"/>
      <c r="AB23" s="395"/>
      <c r="AC23" s="407">
        <v>4630</v>
      </c>
      <c r="AD23" s="376"/>
      <c r="AE23" s="408">
        <v>1</v>
      </c>
      <c r="AF23" s="409">
        <v>100000</v>
      </c>
      <c r="AG23" s="410">
        <f t="shared" si="6"/>
        <v>100000</v>
      </c>
      <c r="AH23" s="376"/>
      <c r="AI23" s="392">
        <v>142.10526315789474</v>
      </c>
      <c r="AJ23" s="387">
        <v>0.2036</v>
      </c>
      <c r="AK23" s="404">
        <f t="shared" si="7"/>
        <v>1099.44</v>
      </c>
      <c r="AL23" s="376"/>
      <c r="AM23" s="411">
        <f t="shared" si="8"/>
        <v>462855.39370000002</v>
      </c>
      <c r="AN23" s="385"/>
      <c r="AO23" s="402">
        <f>VLOOKUP(C23,'Prior Year Adj 13-14'!C:AZ,50,FALSE)</f>
        <v>-3827.7840999999898</v>
      </c>
      <c r="AP23" s="402"/>
      <c r="AQ23" s="402">
        <f t="shared" si="10"/>
        <v>459027.60960000003</v>
      </c>
      <c r="AS23" s="678"/>
    </row>
    <row r="24" spans="1:45" ht="15" x14ac:dyDescent="0.25">
      <c r="A24" s="375" t="s">
        <v>64</v>
      </c>
      <c r="B24" s="332" t="s">
        <v>522</v>
      </c>
      <c r="C24" s="332">
        <v>2467</v>
      </c>
      <c r="D24" s="376"/>
      <c r="E24" s="403">
        <v>988</v>
      </c>
      <c r="F24" s="387">
        <f t="shared" si="0"/>
        <v>29640</v>
      </c>
      <c r="G24" s="387">
        <v>9360</v>
      </c>
      <c r="H24" s="387">
        <v>6300</v>
      </c>
      <c r="I24" s="387">
        <v>9180</v>
      </c>
      <c r="J24" s="388">
        <f t="shared" si="9"/>
        <v>24840</v>
      </c>
      <c r="K24" s="387">
        <f t="shared" si="1"/>
        <v>4800</v>
      </c>
      <c r="L24" s="387">
        <f t="shared" si="2"/>
        <v>24840</v>
      </c>
      <c r="M24" s="387" t="s">
        <v>504</v>
      </c>
      <c r="N24" s="389">
        <v>3.5636999999999999</v>
      </c>
      <c r="O24" s="404">
        <f t="shared" si="3"/>
        <v>88522</v>
      </c>
      <c r="P24" s="380"/>
      <c r="Q24" s="391">
        <v>830.84210526315792</v>
      </c>
      <c r="R24" s="387">
        <v>0.2036</v>
      </c>
      <c r="S24" s="404">
        <f t="shared" si="4"/>
        <v>6428.0591999999997</v>
      </c>
      <c r="T24" s="380"/>
      <c r="U24" s="392">
        <v>28.421052631578949</v>
      </c>
      <c r="V24" s="387">
        <v>1.7611399999999999</v>
      </c>
      <c r="W24" s="405">
        <f t="shared" si="5"/>
        <v>1902.0312000000001</v>
      </c>
      <c r="X24" s="376"/>
      <c r="Y24" s="394"/>
      <c r="Z24" s="395"/>
      <c r="AA24" s="406"/>
      <c r="AB24" s="395"/>
      <c r="AC24" s="407"/>
      <c r="AD24" s="376"/>
      <c r="AE24" s="408"/>
      <c r="AF24" s="409"/>
      <c r="AG24" s="410">
        <f t="shared" si="6"/>
        <v>0</v>
      </c>
      <c r="AH24" s="376"/>
      <c r="AI24" s="392">
        <v>20.368421052631579</v>
      </c>
      <c r="AJ24" s="387">
        <v>0.2036</v>
      </c>
      <c r="AK24" s="404">
        <f t="shared" si="7"/>
        <v>157.58640000000003</v>
      </c>
      <c r="AL24" s="376"/>
      <c r="AM24" s="411">
        <f t="shared" si="8"/>
        <v>97009.676800000001</v>
      </c>
      <c r="AN24" s="385"/>
      <c r="AO24" s="402">
        <f>VLOOKUP(C24,'Prior Year Adj 13-14'!C:AZ,50,FALSE)</f>
        <v>-22385.869999999995</v>
      </c>
      <c r="AP24" s="402"/>
      <c r="AQ24" s="402">
        <f t="shared" si="10"/>
        <v>74623.806800000006</v>
      </c>
      <c r="AS24" s="678"/>
    </row>
    <row r="25" spans="1:45" ht="15" x14ac:dyDescent="0.25">
      <c r="A25" s="415" t="s">
        <v>67</v>
      </c>
      <c r="B25" s="331" t="s">
        <v>524</v>
      </c>
      <c r="C25" s="331">
        <v>2451</v>
      </c>
      <c r="D25" s="376"/>
      <c r="E25" s="403">
        <v>988</v>
      </c>
      <c r="F25" s="387">
        <f t="shared" si="0"/>
        <v>29640</v>
      </c>
      <c r="G25" s="387">
        <v>9360</v>
      </c>
      <c r="H25" s="387">
        <v>10920</v>
      </c>
      <c r="I25" s="387">
        <v>9360</v>
      </c>
      <c r="J25" s="388">
        <f t="shared" si="9"/>
        <v>29640</v>
      </c>
      <c r="K25" s="387">
        <f t="shared" si="1"/>
        <v>0</v>
      </c>
      <c r="L25" s="387">
        <f t="shared" si="2"/>
        <v>29640</v>
      </c>
      <c r="M25" s="387" t="s">
        <v>504</v>
      </c>
      <c r="N25" s="389">
        <v>3.5636999999999999</v>
      </c>
      <c r="O25" s="404">
        <f t="shared" si="3"/>
        <v>105628</v>
      </c>
      <c r="P25" s="380"/>
      <c r="Q25" s="391">
        <v>630.94736842105272</v>
      </c>
      <c r="R25" s="387">
        <v>0.2036</v>
      </c>
      <c r="S25" s="404">
        <f t="shared" si="4"/>
        <v>4881.5136000000002</v>
      </c>
      <c r="T25" s="380"/>
      <c r="U25" s="392">
        <v>28.421052631578949</v>
      </c>
      <c r="V25" s="387">
        <v>1.7611399999999999</v>
      </c>
      <c r="W25" s="405">
        <f t="shared" si="5"/>
        <v>1902.0312000000001</v>
      </c>
      <c r="X25" s="376"/>
      <c r="Y25" s="394"/>
      <c r="Z25" s="395"/>
      <c r="AA25" s="406"/>
      <c r="AB25" s="395"/>
      <c r="AC25" s="407"/>
      <c r="AD25" s="376"/>
      <c r="AE25" s="408"/>
      <c r="AF25" s="409"/>
      <c r="AG25" s="410">
        <f t="shared" si="6"/>
        <v>0</v>
      </c>
      <c r="AH25" s="376"/>
      <c r="AI25" s="392">
        <v>5.5263157894736841</v>
      </c>
      <c r="AJ25" s="387">
        <v>0.2036</v>
      </c>
      <c r="AK25" s="404">
        <f t="shared" si="7"/>
        <v>42.756</v>
      </c>
      <c r="AL25" s="376"/>
      <c r="AM25" s="411">
        <f t="shared" si="8"/>
        <v>112454.3008</v>
      </c>
      <c r="AN25" s="385"/>
      <c r="AO25" s="402">
        <f>VLOOKUP(C25,'Prior Year Adj 13-14'!C:AZ,50,FALSE)</f>
        <v>-3876.3633999999875</v>
      </c>
      <c r="AP25" s="402"/>
      <c r="AQ25" s="402">
        <f t="shared" si="10"/>
        <v>108577.93740000001</v>
      </c>
      <c r="AS25" s="678"/>
    </row>
    <row r="26" spans="1:45" ht="15" x14ac:dyDescent="0.25">
      <c r="A26" s="375" t="s">
        <v>69</v>
      </c>
      <c r="B26" s="332" t="s">
        <v>525</v>
      </c>
      <c r="C26" s="332">
        <v>2619</v>
      </c>
      <c r="D26" s="376"/>
      <c r="E26" s="403">
        <v>1482</v>
      </c>
      <c r="F26" s="387">
        <f t="shared" si="0"/>
        <v>44460</v>
      </c>
      <c r="G26" s="387">
        <v>8640</v>
      </c>
      <c r="H26" s="387">
        <v>5040</v>
      </c>
      <c r="I26" s="387">
        <v>5760</v>
      </c>
      <c r="J26" s="388">
        <f t="shared" si="9"/>
        <v>19440</v>
      </c>
      <c r="K26" s="387">
        <f t="shared" si="1"/>
        <v>25020</v>
      </c>
      <c r="L26" s="387">
        <f t="shared" si="2"/>
        <v>19440</v>
      </c>
      <c r="M26" s="387" t="s">
        <v>504</v>
      </c>
      <c r="N26" s="389">
        <v>3.5636999999999999</v>
      </c>
      <c r="O26" s="404">
        <f t="shared" si="3"/>
        <v>69278</v>
      </c>
      <c r="P26" s="380"/>
      <c r="Q26" s="391">
        <v>1195.3421052631579</v>
      </c>
      <c r="R26" s="387">
        <v>0.2036</v>
      </c>
      <c r="S26" s="404">
        <f t="shared" si="4"/>
        <v>9248.122800000001</v>
      </c>
      <c r="T26" s="380"/>
      <c r="U26" s="392">
        <v>29.210526315789473</v>
      </c>
      <c r="V26" s="387">
        <v>1.7611399999999999</v>
      </c>
      <c r="W26" s="405">
        <f t="shared" si="5"/>
        <v>1954.8653999999999</v>
      </c>
      <c r="X26" s="376"/>
      <c r="Y26" s="394"/>
      <c r="Z26" s="395"/>
      <c r="AA26" s="406"/>
      <c r="AB26" s="395"/>
      <c r="AC26" s="407"/>
      <c r="AD26" s="376"/>
      <c r="AE26" s="408"/>
      <c r="AF26" s="409"/>
      <c r="AG26" s="410">
        <f t="shared" si="6"/>
        <v>0</v>
      </c>
      <c r="AH26" s="376"/>
      <c r="AI26" s="392">
        <v>64.34210526315789</v>
      </c>
      <c r="AJ26" s="387">
        <v>0.2036</v>
      </c>
      <c r="AK26" s="404">
        <f t="shared" si="7"/>
        <v>497.80200000000002</v>
      </c>
      <c r="AL26" s="376"/>
      <c r="AM26" s="411">
        <f t="shared" si="8"/>
        <v>80978.790200000003</v>
      </c>
      <c r="AN26" s="385"/>
      <c r="AO26" s="402">
        <f>VLOOKUP(C26,'Prior Year Adj 13-14'!C:AZ,50,FALSE)</f>
        <v>-3029.0183999999863</v>
      </c>
      <c r="AP26" s="402"/>
      <c r="AQ26" s="402">
        <f t="shared" si="10"/>
        <v>77949.771800000017</v>
      </c>
      <c r="AS26" s="678"/>
    </row>
    <row r="27" spans="1:45" ht="15" x14ac:dyDescent="0.25">
      <c r="A27" s="375" t="s">
        <v>70</v>
      </c>
      <c r="B27" s="332" t="s">
        <v>526</v>
      </c>
      <c r="C27" s="332">
        <v>2518</v>
      </c>
      <c r="D27" s="376"/>
      <c r="E27" s="403">
        <v>1482</v>
      </c>
      <c r="F27" s="387">
        <f t="shared" si="0"/>
        <v>44460</v>
      </c>
      <c r="G27" s="387">
        <v>3960</v>
      </c>
      <c r="H27" s="387">
        <v>2100</v>
      </c>
      <c r="I27" s="387">
        <v>1980</v>
      </c>
      <c r="J27" s="388">
        <f t="shared" si="9"/>
        <v>8040</v>
      </c>
      <c r="K27" s="387">
        <f t="shared" si="1"/>
        <v>36420</v>
      </c>
      <c r="L27" s="387">
        <f t="shared" si="2"/>
        <v>8040</v>
      </c>
      <c r="M27" s="387" t="s">
        <v>504</v>
      </c>
      <c r="N27" s="389">
        <v>3.5636999999999999</v>
      </c>
      <c r="O27" s="404">
        <f t="shared" si="3"/>
        <v>28652</v>
      </c>
      <c r="P27" s="380"/>
      <c r="Q27" s="391">
        <v>690.78947368421052</v>
      </c>
      <c r="R27" s="387">
        <v>0.2036</v>
      </c>
      <c r="S27" s="404">
        <f t="shared" si="4"/>
        <v>5344.5</v>
      </c>
      <c r="T27" s="380"/>
      <c r="U27" s="392">
        <v>18.94736842105263</v>
      </c>
      <c r="V27" s="387">
        <v>1.7611399999999999</v>
      </c>
      <c r="W27" s="405">
        <f t="shared" si="5"/>
        <v>1268.0207999999998</v>
      </c>
      <c r="X27" s="376"/>
      <c r="Y27" s="394"/>
      <c r="Z27" s="395"/>
      <c r="AA27" s="406"/>
      <c r="AB27" s="395"/>
      <c r="AC27" s="407"/>
      <c r="AD27" s="376"/>
      <c r="AE27" s="408"/>
      <c r="AF27" s="409"/>
      <c r="AG27" s="410">
        <f t="shared" si="6"/>
        <v>0</v>
      </c>
      <c r="AH27" s="376"/>
      <c r="AI27" s="392">
        <v>151.57894736842104</v>
      </c>
      <c r="AJ27" s="387">
        <v>0.2036</v>
      </c>
      <c r="AK27" s="404">
        <f t="shared" si="7"/>
        <v>1172.7359999999999</v>
      </c>
      <c r="AL27" s="376"/>
      <c r="AM27" s="411">
        <f t="shared" si="8"/>
        <v>36437.256800000003</v>
      </c>
      <c r="AN27" s="385"/>
      <c r="AO27" s="402">
        <f>VLOOKUP(C27,'Prior Year Adj 13-14'!C:AZ,50,FALSE)</f>
        <v>-23245.453800000003</v>
      </c>
      <c r="AP27" s="402"/>
      <c r="AQ27" s="402">
        <f t="shared" si="10"/>
        <v>13191.803</v>
      </c>
      <c r="AS27" s="678"/>
    </row>
    <row r="28" spans="1:45" ht="15" x14ac:dyDescent="0.25">
      <c r="A28" s="375" t="s">
        <v>527</v>
      </c>
      <c r="B28" s="332" t="s">
        <v>528</v>
      </c>
      <c r="C28" s="332">
        <v>2010</v>
      </c>
      <c r="D28" s="376"/>
      <c r="E28" s="403">
        <v>988</v>
      </c>
      <c r="F28" s="387">
        <f t="shared" si="0"/>
        <v>29640</v>
      </c>
      <c r="G28" s="387">
        <v>8820</v>
      </c>
      <c r="H28" s="387">
        <v>8400</v>
      </c>
      <c r="I28" s="387">
        <v>8100</v>
      </c>
      <c r="J28" s="388">
        <f t="shared" si="9"/>
        <v>25320</v>
      </c>
      <c r="K28" s="387">
        <f t="shared" si="1"/>
        <v>4320</v>
      </c>
      <c r="L28" s="387">
        <f t="shared" si="2"/>
        <v>25320</v>
      </c>
      <c r="M28" s="387" t="s">
        <v>504</v>
      </c>
      <c r="N28" s="389">
        <v>3.5636999999999999</v>
      </c>
      <c r="O28" s="404">
        <f t="shared" si="3"/>
        <v>90233</v>
      </c>
      <c r="P28" s="380"/>
      <c r="Q28" s="391">
        <v>1026.9473684210527</v>
      </c>
      <c r="R28" s="387">
        <v>0.2036</v>
      </c>
      <c r="S28" s="404">
        <f t="shared" si="4"/>
        <v>7945.2864</v>
      </c>
      <c r="T28" s="380"/>
      <c r="U28" s="392">
        <v>4.7368421052631575</v>
      </c>
      <c r="V28" s="387">
        <v>1.7611399999999999</v>
      </c>
      <c r="W28" s="405">
        <f t="shared" si="5"/>
        <v>317.00519999999995</v>
      </c>
      <c r="X28" s="376"/>
      <c r="Y28" s="394"/>
      <c r="Z28" s="395"/>
      <c r="AA28" s="406"/>
      <c r="AB28" s="395"/>
      <c r="AC28" s="407"/>
      <c r="AD28" s="376"/>
      <c r="AE28" s="408"/>
      <c r="AF28" s="409"/>
      <c r="AG28" s="410">
        <f t="shared" si="6"/>
        <v>0</v>
      </c>
      <c r="AH28" s="376"/>
      <c r="AI28" s="392">
        <v>124.73684210526316</v>
      </c>
      <c r="AJ28" s="387">
        <v>0.2036</v>
      </c>
      <c r="AK28" s="404">
        <f t="shared" si="7"/>
        <v>965.06400000000008</v>
      </c>
      <c r="AL28" s="376"/>
      <c r="AM28" s="411">
        <f t="shared" si="8"/>
        <v>99460.355599999995</v>
      </c>
      <c r="AN28" s="385"/>
      <c r="AO28" s="402">
        <f>VLOOKUP(C28,'Prior Year Adj 13-14'!C:AZ,50,FALSE)</f>
        <v>10120.280799999993</v>
      </c>
      <c r="AP28" s="402"/>
      <c r="AQ28" s="402">
        <f t="shared" si="10"/>
        <v>109580.63639999999</v>
      </c>
      <c r="AS28" s="678"/>
    </row>
    <row r="29" spans="1:45" ht="15" x14ac:dyDescent="0.25">
      <c r="A29" s="375" t="s">
        <v>73</v>
      </c>
      <c r="B29" s="332" t="s">
        <v>529</v>
      </c>
      <c r="C29" s="332">
        <v>2002</v>
      </c>
      <c r="D29" s="376"/>
      <c r="E29" s="403">
        <v>988</v>
      </c>
      <c r="F29" s="387">
        <f t="shared" si="0"/>
        <v>29640</v>
      </c>
      <c r="G29" s="387">
        <v>9360</v>
      </c>
      <c r="H29" s="387">
        <v>9870</v>
      </c>
      <c r="I29" s="387">
        <v>9360</v>
      </c>
      <c r="J29" s="388">
        <f t="shared" si="9"/>
        <v>28590</v>
      </c>
      <c r="K29" s="387">
        <f t="shared" si="1"/>
        <v>1050</v>
      </c>
      <c r="L29" s="387">
        <f t="shared" si="2"/>
        <v>28590</v>
      </c>
      <c r="M29" s="387" t="s">
        <v>504</v>
      </c>
      <c r="N29" s="389">
        <v>3.5636999999999999</v>
      </c>
      <c r="O29" s="404">
        <f t="shared" si="3"/>
        <v>101886</v>
      </c>
      <c r="P29" s="380"/>
      <c r="Q29" s="391">
        <v>62.368421052631575</v>
      </c>
      <c r="R29" s="387">
        <v>0.2036</v>
      </c>
      <c r="S29" s="404">
        <f t="shared" si="4"/>
        <v>482.53199999999998</v>
      </c>
      <c r="T29" s="380"/>
      <c r="U29" s="392">
        <v>0</v>
      </c>
      <c r="V29" s="387">
        <v>1.7611399999999999</v>
      </c>
      <c r="W29" s="405">
        <f t="shared" si="5"/>
        <v>0</v>
      </c>
      <c r="X29" s="376"/>
      <c r="Y29" s="394"/>
      <c r="Z29" s="395"/>
      <c r="AA29" s="406"/>
      <c r="AB29" s="395"/>
      <c r="AC29" s="407"/>
      <c r="AD29" s="376"/>
      <c r="AE29" s="408"/>
      <c r="AF29" s="409"/>
      <c r="AG29" s="410">
        <f t="shared" si="6"/>
        <v>0</v>
      </c>
      <c r="AH29" s="376"/>
      <c r="AI29" s="392">
        <v>24.473684210526315</v>
      </c>
      <c r="AJ29" s="387">
        <v>0.2036</v>
      </c>
      <c r="AK29" s="404">
        <f t="shared" si="7"/>
        <v>189.34800000000001</v>
      </c>
      <c r="AL29" s="376"/>
      <c r="AM29" s="411">
        <f t="shared" si="8"/>
        <v>102557.88</v>
      </c>
      <c r="AN29" s="385"/>
      <c r="AO29" s="402">
        <f>VLOOKUP(C29,'Prior Year Adj 13-14'!C:AZ,50,FALSE)</f>
        <v>-1653.6491999999853</v>
      </c>
      <c r="AP29" s="402"/>
      <c r="AQ29" s="402">
        <f t="shared" si="10"/>
        <v>100904.23080000002</v>
      </c>
      <c r="AS29" s="678"/>
    </row>
    <row r="30" spans="1:45" ht="15" x14ac:dyDescent="0.25">
      <c r="A30" s="375" t="s">
        <v>74</v>
      </c>
      <c r="B30" s="332" t="s">
        <v>530</v>
      </c>
      <c r="C30" s="332">
        <v>3544</v>
      </c>
      <c r="D30" s="376"/>
      <c r="E30" s="403">
        <v>1140</v>
      </c>
      <c r="F30" s="387">
        <f t="shared" si="0"/>
        <v>34200</v>
      </c>
      <c r="G30" s="387">
        <v>10800</v>
      </c>
      <c r="H30" s="387">
        <v>10500</v>
      </c>
      <c r="I30" s="387">
        <v>10800</v>
      </c>
      <c r="J30" s="388">
        <f t="shared" si="9"/>
        <v>32100</v>
      </c>
      <c r="K30" s="387">
        <f t="shared" si="1"/>
        <v>2100</v>
      </c>
      <c r="L30" s="387">
        <f t="shared" si="2"/>
        <v>32100</v>
      </c>
      <c r="M30" s="387" t="s">
        <v>504</v>
      </c>
      <c r="N30" s="389">
        <v>3.5636999999999999</v>
      </c>
      <c r="O30" s="404">
        <f t="shared" si="3"/>
        <v>114395</v>
      </c>
      <c r="P30" s="380"/>
      <c r="Q30" s="391">
        <v>2330.5263157894738</v>
      </c>
      <c r="R30" s="387">
        <v>0.2036</v>
      </c>
      <c r="S30" s="404">
        <f t="shared" si="4"/>
        <v>18030.815999999999</v>
      </c>
      <c r="T30" s="380"/>
      <c r="U30" s="392">
        <v>19.736842105263158</v>
      </c>
      <c r="V30" s="387">
        <v>1.7611399999999999</v>
      </c>
      <c r="W30" s="405">
        <f t="shared" si="5"/>
        <v>1320.855</v>
      </c>
      <c r="X30" s="376"/>
      <c r="Y30" s="394"/>
      <c r="Z30" s="395"/>
      <c r="AA30" s="406"/>
      <c r="AB30" s="395"/>
      <c r="AC30" s="407"/>
      <c r="AD30" s="376"/>
      <c r="AE30" s="408"/>
      <c r="AF30" s="409"/>
      <c r="AG30" s="410">
        <f t="shared" si="6"/>
        <v>0</v>
      </c>
      <c r="AH30" s="376"/>
      <c r="AI30" s="392">
        <v>570</v>
      </c>
      <c r="AJ30" s="387">
        <v>0.2036</v>
      </c>
      <c r="AK30" s="404">
        <f t="shared" si="7"/>
        <v>4409.9760000000006</v>
      </c>
      <c r="AL30" s="376"/>
      <c r="AM30" s="411">
        <f t="shared" si="8"/>
        <v>138156.647</v>
      </c>
      <c r="AN30" s="385"/>
      <c r="AO30" s="402">
        <f>VLOOKUP(C30,'Prior Year Adj 13-14'!C:AZ,50,FALSE)</f>
        <v>-7001.4041999999754</v>
      </c>
      <c r="AP30" s="402"/>
      <c r="AQ30" s="402">
        <f t="shared" si="10"/>
        <v>131155.24280000001</v>
      </c>
      <c r="AS30" s="678"/>
    </row>
    <row r="31" spans="1:45" ht="15" x14ac:dyDescent="0.25">
      <c r="A31" s="375" t="s">
        <v>39</v>
      </c>
      <c r="B31" s="332" t="s">
        <v>531</v>
      </c>
      <c r="C31" s="332">
        <v>1008</v>
      </c>
      <c r="D31" s="376"/>
      <c r="E31" s="403">
        <v>1520</v>
      </c>
      <c r="F31" s="387">
        <f t="shared" si="0"/>
        <v>45600</v>
      </c>
      <c r="G31" s="387">
        <v>14400</v>
      </c>
      <c r="H31" s="387">
        <v>15750</v>
      </c>
      <c r="I31" s="387">
        <v>14400</v>
      </c>
      <c r="J31" s="388">
        <f t="shared" si="9"/>
        <v>44550</v>
      </c>
      <c r="K31" s="387">
        <f t="shared" si="1"/>
        <v>1050</v>
      </c>
      <c r="L31" s="387">
        <f t="shared" si="2"/>
        <v>44550</v>
      </c>
      <c r="M31" s="387" t="s">
        <v>507</v>
      </c>
      <c r="N31" s="324">
        <v>5.5246000000000004</v>
      </c>
      <c r="O31" s="404">
        <f t="shared" si="3"/>
        <v>246121</v>
      </c>
      <c r="P31" s="380"/>
      <c r="Q31" s="391">
        <v>3348.9473684210525</v>
      </c>
      <c r="R31" s="387">
        <v>0.2036</v>
      </c>
      <c r="S31" s="404">
        <f t="shared" si="4"/>
        <v>25910.135999999999</v>
      </c>
      <c r="T31" s="380"/>
      <c r="U31" s="392">
        <v>39.473684210526315</v>
      </c>
      <c r="V31" s="387">
        <v>1.7611399999999999</v>
      </c>
      <c r="W31" s="405">
        <f t="shared" si="5"/>
        <v>2641.71</v>
      </c>
      <c r="X31" s="376"/>
      <c r="Y31" s="394"/>
      <c r="Z31" s="395"/>
      <c r="AA31" s="406"/>
      <c r="AB31" s="395"/>
      <c r="AC31" s="407">
        <v>17519</v>
      </c>
      <c r="AD31" s="376"/>
      <c r="AE31" s="408">
        <v>1</v>
      </c>
      <c r="AF31" s="409">
        <v>100000</v>
      </c>
      <c r="AG31" s="410">
        <f t="shared" si="6"/>
        <v>100000</v>
      </c>
      <c r="AH31" s="376"/>
      <c r="AI31" s="392">
        <v>695.52631578947364</v>
      </c>
      <c r="AJ31" s="387">
        <v>0.2036</v>
      </c>
      <c r="AK31" s="404">
        <f t="shared" si="7"/>
        <v>5381.1479999999992</v>
      </c>
      <c r="AL31" s="376"/>
      <c r="AM31" s="411">
        <f t="shared" si="8"/>
        <v>397572.99400000001</v>
      </c>
      <c r="AN31" s="385"/>
      <c r="AO31" s="402">
        <f>VLOOKUP(C31,'Prior Year Adj 13-14'!C:AZ,50,FALSE)</f>
        <v>-8745.5643999999738</v>
      </c>
      <c r="AP31" s="402"/>
      <c r="AQ31" s="402">
        <f t="shared" si="10"/>
        <v>388827.42960000003</v>
      </c>
      <c r="AS31" s="678"/>
    </row>
    <row r="32" spans="1:45" ht="15" x14ac:dyDescent="0.25">
      <c r="A32" s="375" t="s">
        <v>75</v>
      </c>
      <c r="B32" s="332" t="s">
        <v>532</v>
      </c>
      <c r="C32" s="332">
        <v>2006</v>
      </c>
      <c r="D32" s="376"/>
      <c r="E32" s="403">
        <v>988</v>
      </c>
      <c r="F32" s="387">
        <f t="shared" si="0"/>
        <v>29640</v>
      </c>
      <c r="G32" s="387">
        <v>9360</v>
      </c>
      <c r="H32" s="387">
        <v>9240</v>
      </c>
      <c r="I32" s="387">
        <v>9180</v>
      </c>
      <c r="J32" s="388">
        <f t="shared" si="9"/>
        <v>27780</v>
      </c>
      <c r="K32" s="387">
        <f t="shared" si="1"/>
        <v>1860</v>
      </c>
      <c r="L32" s="387">
        <f t="shared" si="2"/>
        <v>27780</v>
      </c>
      <c r="M32" s="387" t="s">
        <v>504</v>
      </c>
      <c r="N32" s="389">
        <v>3.5636999999999999</v>
      </c>
      <c r="O32" s="404">
        <f t="shared" si="3"/>
        <v>99000</v>
      </c>
      <c r="P32" s="380"/>
      <c r="Q32" s="391">
        <v>108.31578947368422</v>
      </c>
      <c r="R32" s="387">
        <v>0.2036</v>
      </c>
      <c r="S32" s="404">
        <f t="shared" si="4"/>
        <v>838.01760000000013</v>
      </c>
      <c r="T32" s="380"/>
      <c r="U32" s="392">
        <v>0</v>
      </c>
      <c r="V32" s="387">
        <v>1.7611399999999999</v>
      </c>
      <c r="W32" s="405">
        <f t="shared" si="5"/>
        <v>0</v>
      </c>
      <c r="X32" s="376"/>
      <c r="Y32" s="394"/>
      <c r="Z32" s="395"/>
      <c r="AA32" s="406"/>
      <c r="AB32" s="395"/>
      <c r="AC32" s="407"/>
      <c r="AD32" s="376"/>
      <c r="AE32" s="408"/>
      <c r="AF32" s="409"/>
      <c r="AG32" s="410">
        <f t="shared" si="6"/>
        <v>0</v>
      </c>
      <c r="AH32" s="376"/>
      <c r="AI32" s="392">
        <v>18.631578947368421</v>
      </c>
      <c r="AJ32" s="387">
        <v>0.2036</v>
      </c>
      <c r="AK32" s="404">
        <f t="shared" si="7"/>
        <v>144.14879999999999</v>
      </c>
      <c r="AL32" s="376"/>
      <c r="AM32" s="411">
        <f t="shared" si="8"/>
        <v>99982.166400000002</v>
      </c>
      <c r="AN32" s="385"/>
      <c r="AO32" s="402">
        <f>VLOOKUP(C32,'Prior Year Adj 13-14'!C:AZ,50,FALSE)</f>
        <v>42.181200000006356</v>
      </c>
      <c r="AP32" s="402"/>
      <c r="AQ32" s="402">
        <f t="shared" si="10"/>
        <v>100024.34760000001</v>
      </c>
      <c r="AS32" s="678"/>
    </row>
    <row r="33" spans="1:45" ht="15" x14ac:dyDescent="0.25">
      <c r="A33" s="375" t="s">
        <v>76</v>
      </c>
      <c r="B33" s="332" t="s">
        <v>533</v>
      </c>
      <c r="C33" s="332">
        <v>2434</v>
      </c>
      <c r="D33" s="376"/>
      <c r="E33" s="403">
        <v>1976</v>
      </c>
      <c r="F33" s="387">
        <f t="shared" si="0"/>
        <v>59280</v>
      </c>
      <c r="G33" s="387">
        <v>18720</v>
      </c>
      <c r="H33" s="387">
        <v>15750</v>
      </c>
      <c r="I33" s="387">
        <v>17640</v>
      </c>
      <c r="J33" s="388">
        <f t="shared" si="9"/>
        <v>52110</v>
      </c>
      <c r="K33" s="387">
        <f t="shared" si="1"/>
        <v>7170</v>
      </c>
      <c r="L33" s="387">
        <f t="shared" si="2"/>
        <v>52110</v>
      </c>
      <c r="M33" s="387" t="s">
        <v>504</v>
      </c>
      <c r="N33" s="389">
        <v>3.5636999999999999</v>
      </c>
      <c r="O33" s="404">
        <f t="shared" si="3"/>
        <v>185704</v>
      </c>
      <c r="P33" s="380"/>
      <c r="Q33" s="391">
        <v>2805</v>
      </c>
      <c r="R33" s="387">
        <v>0.2036</v>
      </c>
      <c r="S33" s="404">
        <f t="shared" si="4"/>
        <v>21701.723999999998</v>
      </c>
      <c r="T33" s="380"/>
      <c r="U33" s="392">
        <v>39.473684210526315</v>
      </c>
      <c r="V33" s="387">
        <v>1.7611399999999999</v>
      </c>
      <c r="W33" s="405">
        <f t="shared" si="5"/>
        <v>2641.71</v>
      </c>
      <c r="X33" s="376"/>
      <c r="Y33" s="394"/>
      <c r="Z33" s="395"/>
      <c r="AA33" s="406"/>
      <c r="AB33" s="395"/>
      <c r="AC33" s="407"/>
      <c r="AD33" s="376"/>
      <c r="AE33" s="408"/>
      <c r="AF33" s="409"/>
      <c r="AG33" s="410">
        <f t="shared" si="6"/>
        <v>0</v>
      </c>
      <c r="AH33" s="376"/>
      <c r="AI33" s="392">
        <v>101.05263157894737</v>
      </c>
      <c r="AJ33" s="387">
        <v>0.2036</v>
      </c>
      <c r="AK33" s="404">
        <f t="shared" si="7"/>
        <v>781.82399999999996</v>
      </c>
      <c r="AL33" s="376"/>
      <c r="AM33" s="411">
        <f t="shared" si="8"/>
        <v>210829.258</v>
      </c>
      <c r="AN33" s="385"/>
      <c r="AO33" s="402">
        <f>VLOOKUP(C33,'Prior Year Adj 13-14'!C:AZ,50,FALSE)</f>
        <v>-4640.7410000000091</v>
      </c>
      <c r="AP33" s="402"/>
      <c r="AQ33" s="402">
        <f t="shared" si="10"/>
        <v>206188.51699999999</v>
      </c>
      <c r="AS33" s="678"/>
    </row>
    <row r="34" spans="1:45" ht="15" x14ac:dyDescent="0.25">
      <c r="A34" s="375" t="s">
        <v>40</v>
      </c>
      <c r="B34" s="332" t="s">
        <v>534</v>
      </c>
      <c r="C34" s="332">
        <v>1005</v>
      </c>
      <c r="D34" s="376"/>
      <c r="E34" s="403">
        <v>1976</v>
      </c>
      <c r="F34" s="387">
        <f t="shared" si="0"/>
        <v>59280</v>
      </c>
      <c r="G34" s="387">
        <v>18630</v>
      </c>
      <c r="H34" s="387">
        <v>15750</v>
      </c>
      <c r="I34" s="387">
        <v>18630</v>
      </c>
      <c r="J34" s="388">
        <f t="shared" si="9"/>
        <v>53010</v>
      </c>
      <c r="K34" s="387">
        <f t="shared" si="1"/>
        <v>6270</v>
      </c>
      <c r="L34" s="387">
        <f t="shared" si="2"/>
        <v>53010</v>
      </c>
      <c r="M34" s="387" t="s">
        <v>507</v>
      </c>
      <c r="N34" s="324">
        <v>5.5246000000000004</v>
      </c>
      <c r="O34" s="404">
        <f t="shared" si="3"/>
        <v>292859</v>
      </c>
      <c r="P34" s="380"/>
      <c r="Q34" s="391">
        <v>3877.894736842105</v>
      </c>
      <c r="R34" s="387">
        <v>0.2036</v>
      </c>
      <c r="S34" s="404">
        <f t="shared" si="4"/>
        <v>30002.495999999999</v>
      </c>
      <c r="T34" s="380"/>
      <c r="U34" s="392">
        <v>58.421052631578945</v>
      </c>
      <c r="V34" s="387">
        <v>1.7611399999999999</v>
      </c>
      <c r="W34" s="405">
        <f t="shared" si="5"/>
        <v>3909.7307999999998</v>
      </c>
      <c r="X34" s="376"/>
      <c r="Y34" s="394">
        <v>110000</v>
      </c>
      <c r="Z34" s="395"/>
      <c r="AA34" s="406"/>
      <c r="AB34" s="395"/>
      <c r="AC34" s="407">
        <v>8635</v>
      </c>
      <c r="AD34" s="376"/>
      <c r="AE34" s="408">
        <v>1</v>
      </c>
      <c r="AF34" s="409">
        <v>100000</v>
      </c>
      <c r="AG34" s="410">
        <f t="shared" si="6"/>
        <v>100000</v>
      </c>
      <c r="AH34" s="376"/>
      <c r="AI34" s="392">
        <v>244.73684210526315</v>
      </c>
      <c r="AJ34" s="387">
        <v>0.2036</v>
      </c>
      <c r="AK34" s="404">
        <f t="shared" si="7"/>
        <v>1893.4799999999998</v>
      </c>
      <c r="AL34" s="376"/>
      <c r="AM34" s="411">
        <f t="shared" si="8"/>
        <v>547299.70680000004</v>
      </c>
      <c r="AN34" s="385"/>
      <c r="AO34" s="402">
        <f>VLOOKUP(C34,'Prior Year Adj 13-14'!C:AZ,50,FALSE)</f>
        <v>-14901.809399999969</v>
      </c>
      <c r="AP34" s="402"/>
      <c r="AQ34" s="402">
        <f t="shared" si="10"/>
        <v>532397.89740000013</v>
      </c>
      <c r="AS34" s="678"/>
    </row>
    <row r="35" spans="1:45" ht="15" x14ac:dyDescent="0.25">
      <c r="A35" s="375" t="s">
        <v>79</v>
      </c>
      <c r="B35" s="332" t="s">
        <v>535</v>
      </c>
      <c r="C35" s="332">
        <v>2452</v>
      </c>
      <c r="D35" s="376"/>
      <c r="E35" s="403">
        <v>988</v>
      </c>
      <c r="F35" s="387">
        <f t="shared" si="0"/>
        <v>29640</v>
      </c>
      <c r="G35" s="387">
        <v>7200</v>
      </c>
      <c r="H35" s="387">
        <v>6300</v>
      </c>
      <c r="I35" s="387">
        <v>9000</v>
      </c>
      <c r="J35" s="388">
        <f t="shared" si="9"/>
        <v>22500</v>
      </c>
      <c r="K35" s="387">
        <f t="shared" si="1"/>
        <v>7140</v>
      </c>
      <c r="L35" s="387">
        <f t="shared" si="2"/>
        <v>22500</v>
      </c>
      <c r="M35" s="387" t="s">
        <v>504</v>
      </c>
      <c r="N35" s="389">
        <v>3.5636999999999999</v>
      </c>
      <c r="O35" s="404">
        <f t="shared" si="3"/>
        <v>80183</v>
      </c>
      <c r="P35" s="380"/>
      <c r="Q35" s="391">
        <v>897.63157894736844</v>
      </c>
      <c r="R35" s="387">
        <v>0.2036</v>
      </c>
      <c r="S35" s="404">
        <f t="shared" si="4"/>
        <v>6944.7960000000003</v>
      </c>
      <c r="T35" s="380"/>
      <c r="U35" s="392">
        <v>14.210526315789474</v>
      </c>
      <c r="V35" s="387">
        <v>1.7611399999999999</v>
      </c>
      <c r="W35" s="405">
        <f t="shared" si="5"/>
        <v>951.01560000000006</v>
      </c>
      <c r="X35" s="376"/>
      <c r="Y35" s="394"/>
      <c r="Z35" s="395"/>
      <c r="AA35" s="406"/>
      <c r="AB35" s="395"/>
      <c r="AC35" s="407"/>
      <c r="AD35" s="376"/>
      <c r="AE35" s="408"/>
      <c r="AF35" s="409"/>
      <c r="AG35" s="410">
        <f t="shared" si="6"/>
        <v>0</v>
      </c>
      <c r="AH35" s="376"/>
      <c r="AI35" s="392">
        <v>25.263157894736842</v>
      </c>
      <c r="AJ35" s="387">
        <v>0.2036</v>
      </c>
      <c r="AK35" s="404">
        <f t="shared" si="7"/>
        <v>195.45599999999999</v>
      </c>
      <c r="AL35" s="376"/>
      <c r="AM35" s="411">
        <f t="shared" si="8"/>
        <v>88274.267600000006</v>
      </c>
      <c r="AN35" s="385"/>
      <c r="AO35" s="402">
        <f>VLOOKUP(C35,'Prior Year Adj 13-14'!C:AZ,50,FALSE)</f>
        <v>-5470.4757999999929</v>
      </c>
      <c r="AP35" s="402"/>
      <c r="AQ35" s="402">
        <f t="shared" si="10"/>
        <v>82803.791800000006</v>
      </c>
      <c r="AS35" s="678"/>
    </row>
    <row r="36" spans="1:45" ht="15" x14ac:dyDescent="0.25">
      <c r="A36" s="415" t="s">
        <v>82</v>
      </c>
      <c r="B36" s="331" t="s">
        <v>536</v>
      </c>
      <c r="C36" s="331">
        <v>2420</v>
      </c>
      <c r="D36" s="376"/>
      <c r="E36" s="403">
        <v>1976</v>
      </c>
      <c r="F36" s="387">
        <f t="shared" si="0"/>
        <v>59280</v>
      </c>
      <c r="G36" s="387">
        <v>18720</v>
      </c>
      <c r="H36" s="387">
        <v>13020</v>
      </c>
      <c r="I36" s="387">
        <v>13680</v>
      </c>
      <c r="J36" s="388">
        <f t="shared" si="9"/>
        <v>45420</v>
      </c>
      <c r="K36" s="387">
        <f t="shared" si="1"/>
        <v>13860</v>
      </c>
      <c r="L36" s="387">
        <f t="shared" si="2"/>
        <v>45420</v>
      </c>
      <c r="M36" s="387" t="s">
        <v>504</v>
      </c>
      <c r="N36" s="389">
        <v>3.5636999999999999</v>
      </c>
      <c r="O36" s="404">
        <f t="shared" si="3"/>
        <v>161863</v>
      </c>
      <c r="P36" s="380"/>
      <c r="Q36" s="391">
        <v>3424.7368421052633</v>
      </c>
      <c r="R36" s="387">
        <v>0.2036</v>
      </c>
      <c r="S36" s="404">
        <f t="shared" si="4"/>
        <v>26496.504000000001</v>
      </c>
      <c r="T36" s="380"/>
      <c r="U36" s="392">
        <v>47.368421052631582</v>
      </c>
      <c r="V36" s="387">
        <v>1.7611399999999999</v>
      </c>
      <c r="W36" s="405">
        <f t="shared" si="5"/>
        <v>3170.0520000000001</v>
      </c>
      <c r="X36" s="376"/>
      <c r="Y36" s="394"/>
      <c r="Z36" s="395"/>
      <c r="AA36" s="406"/>
      <c r="AB36" s="395"/>
      <c r="AC36" s="407"/>
      <c r="AD36" s="376"/>
      <c r="AE36" s="408"/>
      <c r="AF36" s="409"/>
      <c r="AG36" s="410">
        <f t="shared" si="6"/>
        <v>0</v>
      </c>
      <c r="AH36" s="376"/>
      <c r="AI36" s="392">
        <v>323.68421052631578</v>
      </c>
      <c r="AJ36" s="387">
        <v>0.2036</v>
      </c>
      <c r="AK36" s="404">
        <f t="shared" si="7"/>
        <v>2504.2799999999997</v>
      </c>
      <c r="AL36" s="376"/>
      <c r="AM36" s="411">
        <f t="shared" si="8"/>
        <v>194033.83600000001</v>
      </c>
      <c r="AN36" s="385"/>
      <c r="AO36" s="402">
        <f>VLOOKUP(C36,'Prior Year Adj 13-14'!C:AZ,50,FALSE)</f>
        <v>10630.233399999997</v>
      </c>
      <c r="AP36" s="402"/>
      <c r="AQ36" s="402">
        <f t="shared" si="10"/>
        <v>204664.06940000001</v>
      </c>
      <c r="AS36" s="678"/>
    </row>
    <row r="37" spans="1:45" ht="15" x14ac:dyDescent="0.25">
      <c r="A37" s="375" t="s">
        <v>83</v>
      </c>
      <c r="B37" s="332" t="s">
        <v>537</v>
      </c>
      <c r="C37" s="332">
        <v>2473</v>
      </c>
      <c r="D37" s="376"/>
      <c r="E37" s="403">
        <v>1482</v>
      </c>
      <c r="F37" s="387">
        <f t="shared" si="0"/>
        <v>44460</v>
      </c>
      <c r="G37" s="387">
        <v>14040</v>
      </c>
      <c r="H37" s="387">
        <v>14700</v>
      </c>
      <c r="I37" s="387">
        <v>14040</v>
      </c>
      <c r="J37" s="388">
        <f t="shared" si="9"/>
        <v>42780</v>
      </c>
      <c r="K37" s="387">
        <f t="shared" si="1"/>
        <v>1680</v>
      </c>
      <c r="L37" s="387">
        <f t="shared" si="2"/>
        <v>42780</v>
      </c>
      <c r="M37" s="387" t="s">
        <v>504</v>
      </c>
      <c r="N37" s="389">
        <v>3.5636999999999999</v>
      </c>
      <c r="O37" s="404">
        <f t="shared" si="3"/>
        <v>152455</v>
      </c>
      <c r="P37" s="380"/>
      <c r="Q37" s="391">
        <v>1785</v>
      </c>
      <c r="R37" s="387">
        <v>0.2036</v>
      </c>
      <c r="S37" s="404">
        <f t="shared" si="4"/>
        <v>13810.188</v>
      </c>
      <c r="T37" s="380"/>
      <c r="U37" s="392">
        <v>48.157894736842103</v>
      </c>
      <c r="V37" s="387">
        <v>1.7611399999999999</v>
      </c>
      <c r="W37" s="405">
        <f t="shared" si="5"/>
        <v>3222.8861999999995</v>
      </c>
      <c r="X37" s="376"/>
      <c r="Y37" s="394"/>
      <c r="Z37" s="395"/>
      <c r="AA37" s="406"/>
      <c r="AB37" s="395"/>
      <c r="AC37" s="407"/>
      <c r="AD37" s="376"/>
      <c r="AE37" s="408"/>
      <c r="AF37" s="409"/>
      <c r="AG37" s="410">
        <f t="shared" si="6"/>
        <v>0</v>
      </c>
      <c r="AH37" s="376"/>
      <c r="AI37" s="392">
        <v>36.315789473684212</v>
      </c>
      <c r="AJ37" s="387">
        <v>0.2036</v>
      </c>
      <c r="AK37" s="404">
        <f t="shared" si="7"/>
        <v>280.96800000000002</v>
      </c>
      <c r="AL37" s="376"/>
      <c r="AM37" s="411">
        <f t="shared" si="8"/>
        <v>169769.0422</v>
      </c>
      <c r="AN37" s="385"/>
      <c r="AO37" s="402">
        <f>VLOOKUP(C37,'Prior Year Adj 13-14'!C:AZ,50,FALSE)</f>
        <v>-6175.313199999975</v>
      </c>
      <c r="AP37" s="402"/>
      <c r="AQ37" s="402">
        <f t="shared" si="10"/>
        <v>163593.72900000002</v>
      </c>
      <c r="AS37" s="678"/>
    </row>
    <row r="38" spans="1:45" ht="15" x14ac:dyDescent="0.25">
      <c r="A38" s="375" t="s">
        <v>85</v>
      </c>
      <c r="B38" s="332" t="s">
        <v>538</v>
      </c>
      <c r="C38" s="332">
        <v>2003</v>
      </c>
      <c r="D38" s="376"/>
      <c r="E38" s="403">
        <v>988</v>
      </c>
      <c r="F38" s="387">
        <f t="shared" si="0"/>
        <v>29640</v>
      </c>
      <c r="G38" s="387">
        <v>9360</v>
      </c>
      <c r="H38" s="387">
        <v>10920</v>
      </c>
      <c r="I38" s="387">
        <v>9360</v>
      </c>
      <c r="J38" s="388">
        <f t="shared" si="9"/>
        <v>29640</v>
      </c>
      <c r="K38" s="387">
        <f t="shared" si="1"/>
        <v>0</v>
      </c>
      <c r="L38" s="387">
        <f t="shared" si="2"/>
        <v>29640</v>
      </c>
      <c r="M38" s="387" t="s">
        <v>504</v>
      </c>
      <c r="N38" s="389">
        <v>3.5636999999999999</v>
      </c>
      <c r="O38" s="404">
        <f t="shared" si="3"/>
        <v>105628</v>
      </c>
      <c r="P38" s="380"/>
      <c r="Q38" s="391">
        <v>45.78947368421052</v>
      </c>
      <c r="R38" s="387">
        <v>0.2036</v>
      </c>
      <c r="S38" s="404">
        <f t="shared" si="4"/>
        <v>354.26400000000001</v>
      </c>
      <c r="T38" s="380"/>
      <c r="U38" s="392">
        <v>0</v>
      </c>
      <c r="V38" s="387">
        <v>1.7611399999999999</v>
      </c>
      <c r="W38" s="405">
        <f t="shared" si="5"/>
        <v>0</v>
      </c>
      <c r="X38" s="376"/>
      <c r="Y38" s="394"/>
      <c r="Z38" s="395"/>
      <c r="AA38" s="406"/>
      <c r="AB38" s="395"/>
      <c r="AC38" s="407"/>
      <c r="AD38" s="376"/>
      <c r="AE38" s="408"/>
      <c r="AF38" s="409"/>
      <c r="AG38" s="410">
        <f t="shared" si="6"/>
        <v>0</v>
      </c>
      <c r="AH38" s="376"/>
      <c r="AI38" s="392">
        <v>30</v>
      </c>
      <c r="AJ38" s="387">
        <v>0.2036</v>
      </c>
      <c r="AK38" s="404">
        <f t="shared" si="7"/>
        <v>232.10400000000001</v>
      </c>
      <c r="AL38" s="376"/>
      <c r="AM38" s="411">
        <f t="shared" si="8"/>
        <v>106214.368</v>
      </c>
      <c r="AN38" s="385"/>
      <c r="AO38" s="402">
        <f>VLOOKUP(C38,'Prior Year Adj 13-14'!C:AZ,50,FALSE)</f>
        <v>-4367.9079999999958</v>
      </c>
      <c r="AP38" s="402"/>
      <c r="AQ38" s="402">
        <f t="shared" si="10"/>
        <v>101846.46</v>
      </c>
      <c r="AS38" s="678"/>
    </row>
    <row r="39" spans="1:45" ht="15" x14ac:dyDescent="0.25">
      <c r="A39" s="18" t="s">
        <v>163</v>
      </c>
      <c r="B39" s="332" t="s">
        <v>539</v>
      </c>
      <c r="C39" s="332">
        <v>2462</v>
      </c>
      <c r="D39" s="376"/>
      <c r="E39" s="403">
        <v>988</v>
      </c>
      <c r="F39" s="387">
        <f t="shared" si="0"/>
        <v>29640</v>
      </c>
      <c r="G39" s="387">
        <v>9360</v>
      </c>
      <c r="H39" s="387">
        <v>9240</v>
      </c>
      <c r="I39" s="387">
        <v>9360</v>
      </c>
      <c r="J39" s="388">
        <f t="shared" si="9"/>
        <v>27960</v>
      </c>
      <c r="K39" s="387">
        <f t="shared" si="1"/>
        <v>1680</v>
      </c>
      <c r="L39" s="387">
        <f t="shared" si="2"/>
        <v>27960</v>
      </c>
      <c r="M39" s="387" t="s">
        <v>504</v>
      </c>
      <c r="N39" s="389">
        <v>3.5636999999999999</v>
      </c>
      <c r="O39" s="404">
        <f t="shared" si="3"/>
        <v>99641</v>
      </c>
      <c r="P39" s="380"/>
      <c r="Q39" s="391">
        <v>239.36842105263156</v>
      </c>
      <c r="R39" s="387">
        <v>0.2036</v>
      </c>
      <c r="S39" s="404">
        <f t="shared" si="4"/>
        <v>1851.9456</v>
      </c>
      <c r="T39" s="380"/>
      <c r="U39" s="392">
        <v>0</v>
      </c>
      <c r="V39" s="387">
        <v>1.7611399999999999</v>
      </c>
      <c r="W39" s="405">
        <f t="shared" si="5"/>
        <v>0</v>
      </c>
      <c r="X39" s="376"/>
      <c r="Y39" s="394"/>
      <c r="Z39" s="395"/>
      <c r="AA39" s="406"/>
      <c r="AB39" s="395"/>
      <c r="AC39" s="407"/>
      <c r="AD39" s="376"/>
      <c r="AE39" s="408"/>
      <c r="AF39" s="409"/>
      <c r="AG39" s="410">
        <f t="shared" si="6"/>
        <v>0</v>
      </c>
      <c r="AH39" s="376"/>
      <c r="AI39" s="392">
        <v>123.15789473684211</v>
      </c>
      <c r="AJ39" s="387">
        <v>0.2036</v>
      </c>
      <c r="AK39" s="404">
        <f t="shared" si="7"/>
        <v>952.84800000000007</v>
      </c>
      <c r="AL39" s="376"/>
      <c r="AM39" s="411">
        <f t="shared" si="8"/>
        <v>102445.7936</v>
      </c>
      <c r="AN39" s="385"/>
      <c r="AO39" s="402">
        <f>VLOOKUP(C39,'Prior Year Adj 13-14'!C:AZ,50,FALSE)</f>
        <v>-3572.8300000000017</v>
      </c>
      <c r="AP39" s="402"/>
      <c r="AQ39" s="402">
        <f t="shared" si="10"/>
        <v>98872.963600000003</v>
      </c>
      <c r="AS39" s="678"/>
    </row>
    <row r="40" spans="1:45" ht="15" x14ac:dyDescent="0.25">
      <c r="A40" s="415" t="s">
        <v>92</v>
      </c>
      <c r="B40" s="417" t="s">
        <v>540</v>
      </c>
      <c r="C40" s="417">
        <v>2505</v>
      </c>
      <c r="D40" s="376"/>
      <c r="E40" s="403">
        <v>1900</v>
      </c>
      <c r="F40" s="387">
        <f t="shared" si="0"/>
        <v>57000</v>
      </c>
      <c r="G40" s="387">
        <v>18000</v>
      </c>
      <c r="H40" s="387">
        <v>16800</v>
      </c>
      <c r="I40" s="387">
        <v>18000</v>
      </c>
      <c r="J40" s="388">
        <f t="shared" si="9"/>
        <v>52800</v>
      </c>
      <c r="K40" s="387">
        <f t="shared" si="1"/>
        <v>4200</v>
      </c>
      <c r="L40" s="387">
        <f t="shared" si="2"/>
        <v>52800</v>
      </c>
      <c r="M40" s="387" t="s">
        <v>504</v>
      </c>
      <c r="N40" s="389">
        <v>3.5636999999999999</v>
      </c>
      <c r="O40" s="404">
        <f t="shared" si="3"/>
        <v>188163</v>
      </c>
      <c r="P40" s="380"/>
      <c r="Q40" s="391">
        <v>2669.0526315789475</v>
      </c>
      <c r="R40" s="387">
        <v>0.2036</v>
      </c>
      <c r="S40" s="404">
        <f t="shared" si="4"/>
        <v>20649.9264</v>
      </c>
      <c r="T40" s="380"/>
      <c r="U40" s="392">
        <v>26.05263157894737</v>
      </c>
      <c r="V40" s="387">
        <v>1.7611399999999999</v>
      </c>
      <c r="W40" s="405">
        <f t="shared" si="5"/>
        <v>1743.5286000000001</v>
      </c>
      <c r="X40" s="376"/>
      <c r="Y40" s="394"/>
      <c r="Z40" s="395"/>
      <c r="AA40" s="406"/>
      <c r="AB40" s="395"/>
      <c r="AC40" s="407"/>
      <c r="AD40" s="376"/>
      <c r="AE40" s="408"/>
      <c r="AF40" s="409"/>
      <c r="AG40" s="410">
        <f t="shared" si="6"/>
        <v>0</v>
      </c>
      <c r="AH40" s="376"/>
      <c r="AI40" s="392">
        <v>373.42105263157896</v>
      </c>
      <c r="AJ40" s="387">
        <v>0.2036</v>
      </c>
      <c r="AK40" s="404">
        <f t="shared" si="7"/>
        <v>2889.0840000000003</v>
      </c>
      <c r="AL40" s="376"/>
      <c r="AM40" s="411">
        <f t="shared" si="8"/>
        <v>213445.53899999999</v>
      </c>
      <c r="AN40" s="385"/>
      <c r="AO40" s="402">
        <f>VLOOKUP(C40,'Prior Year Adj 13-14'!C:AZ,50,FALSE)</f>
        <v>-16058.493200000026</v>
      </c>
      <c r="AP40" s="402"/>
      <c r="AQ40" s="402">
        <f t="shared" si="10"/>
        <v>197387.04579999996</v>
      </c>
      <c r="AS40" s="678"/>
    </row>
    <row r="41" spans="1:45" ht="15" x14ac:dyDescent="0.25">
      <c r="A41" s="375" t="s">
        <v>93</v>
      </c>
      <c r="B41" s="332" t="s">
        <v>541</v>
      </c>
      <c r="C41" s="332">
        <v>2000</v>
      </c>
      <c r="D41" s="376"/>
      <c r="E41" s="403">
        <v>988</v>
      </c>
      <c r="F41" s="387">
        <f t="shared" si="0"/>
        <v>29640</v>
      </c>
      <c r="G41" s="387">
        <v>9360</v>
      </c>
      <c r="H41" s="387">
        <v>9240</v>
      </c>
      <c r="I41" s="387">
        <v>9360</v>
      </c>
      <c r="J41" s="388">
        <f t="shared" si="9"/>
        <v>27960</v>
      </c>
      <c r="K41" s="387">
        <f t="shared" si="1"/>
        <v>1680</v>
      </c>
      <c r="L41" s="387">
        <f t="shared" si="2"/>
        <v>27960</v>
      </c>
      <c r="M41" s="387" t="s">
        <v>504</v>
      </c>
      <c r="N41" s="389">
        <v>3.5636999999999999</v>
      </c>
      <c r="O41" s="404">
        <f t="shared" si="3"/>
        <v>99641</v>
      </c>
      <c r="P41" s="380"/>
      <c r="Q41" s="391">
        <v>658.42105263157896</v>
      </c>
      <c r="R41" s="387">
        <v>0.2036</v>
      </c>
      <c r="S41" s="404">
        <f t="shared" si="4"/>
        <v>5094.0720000000001</v>
      </c>
      <c r="T41" s="380"/>
      <c r="U41" s="392">
        <v>5.5263157894736841</v>
      </c>
      <c r="V41" s="387">
        <v>1.7611399999999999</v>
      </c>
      <c r="W41" s="405">
        <f t="shared" si="5"/>
        <v>369.83939999999996</v>
      </c>
      <c r="X41" s="376"/>
      <c r="Y41" s="394"/>
      <c r="Z41" s="395"/>
      <c r="AA41" s="406"/>
      <c r="AB41" s="395"/>
      <c r="AC41" s="407"/>
      <c r="AD41" s="376"/>
      <c r="AE41" s="408"/>
      <c r="AF41" s="409"/>
      <c r="AG41" s="410">
        <f t="shared" si="6"/>
        <v>0</v>
      </c>
      <c r="AH41" s="376"/>
      <c r="AI41" s="392">
        <v>65.526315789473685</v>
      </c>
      <c r="AJ41" s="387">
        <v>0.2036</v>
      </c>
      <c r="AK41" s="404">
        <f t="shared" si="7"/>
        <v>506.964</v>
      </c>
      <c r="AL41" s="376"/>
      <c r="AM41" s="411">
        <f t="shared" si="8"/>
        <v>105611.8754</v>
      </c>
      <c r="AN41" s="385"/>
      <c r="AO41" s="402">
        <f>VLOOKUP(C41,'Prior Year Adj 13-14'!C:AZ,50,FALSE)</f>
        <v>-2215.6732000000047</v>
      </c>
      <c r="AP41" s="402"/>
      <c r="AQ41" s="402">
        <f t="shared" si="10"/>
        <v>103396.2022</v>
      </c>
      <c r="AS41" s="678"/>
    </row>
    <row r="42" spans="1:45" ht="15" x14ac:dyDescent="0.25">
      <c r="A42" s="375" t="s">
        <v>95</v>
      </c>
      <c r="B42" s="332" t="s">
        <v>542</v>
      </c>
      <c r="C42" s="332">
        <v>2001</v>
      </c>
      <c r="D42" s="376"/>
      <c r="E42" s="403">
        <v>1976</v>
      </c>
      <c r="F42" s="387">
        <f t="shared" si="0"/>
        <v>59280</v>
      </c>
      <c r="G42" s="387">
        <v>13860</v>
      </c>
      <c r="H42" s="387">
        <v>8820</v>
      </c>
      <c r="I42" s="387">
        <v>10080</v>
      </c>
      <c r="J42" s="388">
        <f t="shared" si="9"/>
        <v>32760</v>
      </c>
      <c r="K42" s="387">
        <f t="shared" si="1"/>
        <v>26520</v>
      </c>
      <c r="L42" s="387">
        <f t="shared" si="2"/>
        <v>32760</v>
      </c>
      <c r="M42" s="387" t="s">
        <v>504</v>
      </c>
      <c r="N42" s="389">
        <v>3.5636999999999999</v>
      </c>
      <c r="O42" s="404">
        <f t="shared" si="3"/>
        <v>116747</v>
      </c>
      <c r="P42" s="380"/>
      <c r="Q42" s="391">
        <v>2023.0263157894735</v>
      </c>
      <c r="R42" s="387">
        <v>0.2036</v>
      </c>
      <c r="S42" s="404">
        <f t="shared" si="4"/>
        <v>15651.75</v>
      </c>
      <c r="T42" s="380"/>
      <c r="U42" s="392">
        <v>83.684210526315795</v>
      </c>
      <c r="V42" s="387">
        <v>1.7611399999999999</v>
      </c>
      <c r="W42" s="405">
        <f t="shared" si="5"/>
        <v>5600.4251999999997</v>
      </c>
      <c r="X42" s="376"/>
      <c r="Y42" s="394"/>
      <c r="Z42" s="395"/>
      <c r="AA42" s="406"/>
      <c r="AB42" s="395"/>
      <c r="AC42" s="407"/>
      <c r="AD42" s="376"/>
      <c r="AE42" s="408"/>
      <c r="AF42" s="409"/>
      <c r="AG42" s="410">
        <f t="shared" si="6"/>
        <v>0</v>
      </c>
      <c r="AH42" s="376"/>
      <c r="AI42" s="392">
        <v>48.94736842105263</v>
      </c>
      <c r="AJ42" s="387">
        <v>0.2036</v>
      </c>
      <c r="AK42" s="404">
        <f t="shared" si="7"/>
        <v>378.69600000000003</v>
      </c>
      <c r="AL42" s="376"/>
      <c r="AM42" s="411">
        <f t="shared" si="8"/>
        <v>138377.87119999999</v>
      </c>
      <c r="AN42" s="385"/>
      <c r="AO42" s="402">
        <f>VLOOKUP(C42,'Prior Year Adj 13-14'!C:AZ,50,FALSE)</f>
        <v>-2274.0860000000102</v>
      </c>
      <c r="AP42" s="402"/>
      <c r="AQ42" s="402">
        <f t="shared" si="10"/>
        <v>136103.78519999998</v>
      </c>
      <c r="AS42" s="678"/>
    </row>
    <row r="43" spans="1:45" ht="15" x14ac:dyDescent="0.25">
      <c r="A43" s="375" t="s">
        <v>96</v>
      </c>
      <c r="B43" s="332" t="s">
        <v>543</v>
      </c>
      <c r="C43" s="332">
        <v>2429</v>
      </c>
      <c r="D43" s="376"/>
      <c r="E43" s="403">
        <v>1482</v>
      </c>
      <c r="F43" s="387">
        <f t="shared" si="0"/>
        <v>44460</v>
      </c>
      <c r="G43" s="387">
        <v>10800</v>
      </c>
      <c r="H43" s="387">
        <v>11760</v>
      </c>
      <c r="I43" s="387">
        <v>10800</v>
      </c>
      <c r="J43" s="388">
        <f t="shared" si="9"/>
        <v>33360</v>
      </c>
      <c r="K43" s="387">
        <f t="shared" si="1"/>
        <v>11100</v>
      </c>
      <c r="L43" s="387">
        <f t="shared" si="2"/>
        <v>33360</v>
      </c>
      <c r="M43" s="387" t="s">
        <v>504</v>
      </c>
      <c r="N43" s="389">
        <v>3.5636999999999999</v>
      </c>
      <c r="O43" s="404">
        <f t="shared" si="3"/>
        <v>118885</v>
      </c>
      <c r="P43" s="380"/>
      <c r="Q43" s="391">
        <v>2321.0526315789475</v>
      </c>
      <c r="R43" s="387">
        <v>0.2036</v>
      </c>
      <c r="S43" s="404">
        <f t="shared" si="4"/>
        <v>17957.52</v>
      </c>
      <c r="T43" s="380"/>
      <c r="U43" s="392">
        <v>14.210526315789474</v>
      </c>
      <c r="V43" s="387">
        <v>1.7611399999999999</v>
      </c>
      <c r="W43" s="405">
        <f t="shared" si="5"/>
        <v>951.01560000000006</v>
      </c>
      <c r="X43" s="376"/>
      <c r="Y43" s="394"/>
      <c r="Z43" s="395"/>
      <c r="AA43" s="406"/>
      <c r="AB43" s="395"/>
      <c r="AC43" s="407"/>
      <c r="AD43" s="376"/>
      <c r="AE43" s="408"/>
      <c r="AF43" s="409"/>
      <c r="AG43" s="410">
        <f t="shared" si="6"/>
        <v>0</v>
      </c>
      <c r="AH43" s="376"/>
      <c r="AI43" s="392">
        <v>554.21052631578948</v>
      </c>
      <c r="AJ43" s="387">
        <v>0.2036</v>
      </c>
      <c r="AK43" s="404">
        <f t="shared" si="7"/>
        <v>4287.8159999999998</v>
      </c>
      <c r="AL43" s="376"/>
      <c r="AM43" s="411">
        <f t="shared" si="8"/>
        <v>142081.35159999999</v>
      </c>
      <c r="AN43" s="385"/>
      <c r="AO43" s="402">
        <f>VLOOKUP(C43,'Prior Year Adj 13-14'!C:AZ,50,FALSE)</f>
        <v>-22561.271800000017</v>
      </c>
      <c r="AP43" s="402"/>
      <c r="AQ43" s="402">
        <f t="shared" si="10"/>
        <v>119520.07979999998</v>
      </c>
      <c r="AS43" s="678"/>
    </row>
    <row r="44" spans="1:45" ht="15" x14ac:dyDescent="0.25">
      <c r="A44" s="375" t="s">
        <v>97</v>
      </c>
      <c r="B44" s="332" t="s">
        <v>544</v>
      </c>
      <c r="C44" s="332">
        <v>2444</v>
      </c>
      <c r="D44" s="376"/>
      <c r="E44" s="403">
        <v>988</v>
      </c>
      <c r="F44" s="387">
        <f t="shared" si="0"/>
        <v>29640</v>
      </c>
      <c r="G44" s="387">
        <v>9360</v>
      </c>
      <c r="H44" s="387">
        <v>10920</v>
      </c>
      <c r="I44" s="387">
        <v>9360</v>
      </c>
      <c r="J44" s="388">
        <f t="shared" si="9"/>
        <v>29640</v>
      </c>
      <c r="K44" s="387">
        <f t="shared" si="1"/>
        <v>0</v>
      </c>
      <c r="L44" s="387">
        <f t="shared" si="2"/>
        <v>29640</v>
      </c>
      <c r="M44" s="387" t="s">
        <v>504</v>
      </c>
      <c r="N44" s="389">
        <v>3.5636999999999999</v>
      </c>
      <c r="O44" s="404">
        <f t="shared" si="3"/>
        <v>105628</v>
      </c>
      <c r="P44" s="380"/>
      <c r="Q44" s="391">
        <v>1189.1052631578948</v>
      </c>
      <c r="R44" s="387">
        <v>0.2036</v>
      </c>
      <c r="S44" s="404">
        <f t="shared" si="4"/>
        <v>9199.8696</v>
      </c>
      <c r="T44" s="380"/>
      <c r="U44" s="392">
        <v>20.526315789473685</v>
      </c>
      <c r="V44" s="387">
        <v>1.7611399999999999</v>
      </c>
      <c r="W44" s="405">
        <f t="shared" si="5"/>
        <v>1373.6891999999998</v>
      </c>
      <c r="X44" s="376"/>
      <c r="Y44" s="394"/>
      <c r="Z44" s="395"/>
      <c r="AA44" s="406"/>
      <c r="AB44" s="395"/>
      <c r="AC44" s="407"/>
      <c r="AD44" s="376"/>
      <c r="AE44" s="408"/>
      <c r="AF44" s="409"/>
      <c r="AG44" s="410">
        <f t="shared" si="6"/>
        <v>0</v>
      </c>
      <c r="AH44" s="376"/>
      <c r="AI44" s="392">
        <v>86.05263157894737</v>
      </c>
      <c r="AJ44" s="387">
        <v>0.2036</v>
      </c>
      <c r="AK44" s="404">
        <f t="shared" si="7"/>
        <v>665.77200000000005</v>
      </c>
      <c r="AL44" s="376"/>
      <c r="AM44" s="411">
        <f t="shared" si="8"/>
        <v>116867.3308</v>
      </c>
      <c r="AN44" s="385"/>
      <c r="AO44" s="402">
        <f>VLOOKUP(C44,'Prior Year Adj 13-14'!C:AZ,50,FALSE)</f>
        <v>-2940.8877999999968</v>
      </c>
      <c r="AP44" s="402"/>
      <c r="AQ44" s="402">
        <f t="shared" si="10"/>
        <v>113926.443</v>
      </c>
      <c r="AS44" s="678"/>
    </row>
    <row r="45" spans="1:45" ht="15" x14ac:dyDescent="0.25">
      <c r="A45" s="375" t="s">
        <v>797</v>
      </c>
      <c r="B45" s="332" t="s">
        <v>545</v>
      </c>
      <c r="C45" s="332">
        <v>2430</v>
      </c>
      <c r="D45" s="376"/>
      <c r="E45" s="403">
        <v>988</v>
      </c>
      <c r="F45" s="387">
        <f t="shared" si="0"/>
        <v>29640</v>
      </c>
      <c r="G45" s="387">
        <v>4680</v>
      </c>
      <c r="H45" s="387">
        <v>3570</v>
      </c>
      <c r="I45" s="387">
        <v>4140</v>
      </c>
      <c r="J45" s="388">
        <f t="shared" si="9"/>
        <v>12390</v>
      </c>
      <c r="K45" s="387">
        <f t="shared" si="1"/>
        <v>17250</v>
      </c>
      <c r="L45" s="387">
        <f t="shared" si="2"/>
        <v>12390</v>
      </c>
      <c r="M45" s="387" t="s">
        <v>504</v>
      </c>
      <c r="N45" s="389">
        <v>3.5636999999999999</v>
      </c>
      <c r="O45" s="404">
        <f t="shared" si="3"/>
        <v>44154</v>
      </c>
      <c r="P45" s="380"/>
      <c r="Q45" s="391">
        <v>919.26315789473688</v>
      </c>
      <c r="R45" s="387">
        <v>0.2036</v>
      </c>
      <c r="S45" s="404">
        <f t="shared" si="4"/>
        <v>7112.1552000000001</v>
      </c>
      <c r="T45" s="380"/>
      <c r="U45" s="392">
        <v>9.473684210526315</v>
      </c>
      <c r="V45" s="387">
        <v>1.7611399999999999</v>
      </c>
      <c r="W45" s="405">
        <f t="shared" si="5"/>
        <v>634.01039999999989</v>
      </c>
      <c r="X45" s="376"/>
      <c r="Y45" s="394"/>
      <c r="Z45" s="395"/>
      <c r="AA45" s="406"/>
      <c r="AB45" s="395"/>
      <c r="AC45" s="407"/>
      <c r="AD45" s="376"/>
      <c r="AE45" s="408"/>
      <c r="AF45" s="409"/>
      <c r="AG45" s="410">
        <f t="shared" si="6"/>
        <v>0</v>
      </c>
      <c r="AH45" s="376"/>
      <c r="AI45" s="392">
        <v>144.47368421052633</v>
      </c>
      <c r="AJ45" s="387">
        <v>0.2036</v>
      </c>
      <c r="AK45" s="404">
        <f t="shared" si="7"/>
        <v>1117.7640000000001</v>
      </c>
      <c r="AL45" s="376"/>
      <c r="AM45" s="411">
        <f t="shared" si="8"/>
        <v>53017.929600000003</v>
      </c>
      <c r="AN45" s="385"/>
      <c r="AO45" s="402">
        <f>VLOOKUP(C45,'Prior Year Adj 13-14'!C:AZ,50,FALSE)</f>
        <v>3950.5286000000051</v>
      </c>
      <c r="AP45" s="402"/>
      <c r="AQ45" s="402">
        <f t="shared" si="10"/>
        <v>56968.458200000008</v>
      </c>
      <c r="AS45" s="678"/>
    </row>
    <row r="46" spans="1:45" ht="15" x14ac:dyDescent="0.25">
      <c r="A46" s="375" t="s">
        <v>102</v>
      </c>
      <c r="B46" s="332" t="s">
        <v>546</v>
      </c>
      <c r="C46" s="332">
        <v>3543</v>
      </c>
      <c r="D46" s="376"/>
      <c r="E46" s="403">
        <v>1482</v>
      </c>
      <c r="F46" s="387">
        <f t="shared" si="0"/>
        <v>44460</v>
      </c>
      <c r="G46" s="387">
        <v>8640</v>
      </c>
      <c r="H46" s="387">
        <v>8400</v>
      </c>
      <c r="I46" s="387">
        <v>8100</v>
      </c>
      <c r="J46" s="388">
        <f t="shared" si="9"/>
        <v>25140</v>
      </c>
      <c r="K46" s="387">
        <f t="shared" si="1"/>
        <v>19320</v>
      </c>
      <c r="L46" s="387">
        <f t="shared" si="2"/>
        <v>25140</v>
      </c>
      <c r="M46" s="387" t="s">
        <v>504</v>
      </c>
      <c r="N46" s="389">
        <v>3.5636999999999999</v>
      </c>
      <c r="O46" s="404">
        <f t="shared" si="3"/>
        <v>89591</v>
      </c>
      <c r="P46" s="380"/>
      <c r="Q46" s="391">
        <v>552.78947368421063</v>
      </c>
      <c r="R46" s="387">
        <v>0.2036</v>
      </c>
      <c r="S46" s="404">
        <f t="shared" si="4"/>
        <v>4276.8216000000011</v>
      </c>
      <c r="T46" s="380"/>
      <c r="U46" s="392">
        <v>4.7368421052631575</v>
      </c>
      <c r="V46" s="387">
        <v>1.7611399999999999</v>
      </c>
      <c r="W46" s="405">
        <f t="shared" si="5"/>
        <v>317.00519999999995</v>
      </c>
      <c r="X46" s="376"/>
      <c r="Y46" s="394"/>
      <c r="Z46" s="395"/>
      <c r="AA46" s="406"/>
      <c r="AB46" s="395"/>
      <c r="AC46" s="407"/>
      <c r="AD46" s="376"/>
      <c r="AE46" s="408"/>
      <c r="AF46" s="409"/>
      <c r="AG46" s="410">
        <f t="shared" si="6"/>
        <v>0</v>
      </c>
      <c r="AH46" s="376"/>
      <c r="AI46" s="392">
        <v>97.89473684210526</v>
      </c>
      <c r="AJ46" s="387">
        <v>0.2036</v>
      </c>
      <c r="AK46" s="404">
        <f t="shared" si="7"/>
        <v>757.39200000000005</v>
      </c>
      <c r="AL46" s="376"/>
      <c r="AM46" s="411">
        <f t="shared" si="8"/>
        <v>94942.218800000002</v>
      </c>
      <c r="AN46" s="385"/>
      <c r="AO46" s="402">
        <f>VLOOKUP(C46,'Prior Year Adj 13-14'!C:AZ,50,FALSE)</f>
        <v>-1192.1997999999876</v>
      </c>
      <c r="AP46" s="402"/>
      <c r="AQ46" s="402">
        <f t="shared" si="10"/>
        <v>93750.019000000015</v>
      </c>
      <c r="AS46" s="678"/>
    </row>
    <row r="47" spans="1:45" ht="15" x14ac:dyDescent="0.25">
      <c r="A47" s="375" t="s">
        <v>103</v>
      </c>
      <c r="B47" s="332" t="s">
        <v>547</v>
      </c>
      <c r="C47" s="332">
        <v>3158</v>
      </c>
      <c r="D47" s="376"/>
      <c r="E47" s="403">
        <v>1482</v>
      </c>
      <c r="F47" s="387">
        <f t="shared" si="0"/>
        <v>44460</v>
      </c>
      <c r="G47" s="387">
        <v>12420</v>
      </c>
      <c r="H47" s="387">
        <v>8190</v>
      </c>
      <c r="I47" s="387">
        <v>11160</v>
      </c>
      <c r="J47" s="388">
        <f t="shared" si="9"/>
        <v>31770</v>
      </c>
      <c r="K47" s="387">
        <f t="shared" si="1"/>
        <v>12690</v>
      </c>
      <c r="L47" s="387">
        <f t="shared" si="2"/>
        <v>31770</v>
      </c>
      <c r="M47" s="387" t="s">
        <v>504</v>
      </c>
      <c r="N47" s="389">
        <v>3.5636999999999999</v>
      </c>
      <c r="O47" s="404">
        <f t="shared" si="3"/>
        <v>113219</v>
      </c>
      <c r="P47" s="380"/>
      <c r="Q47" s="391">
        <v>2459.2105263157891</v>
      </c>
      <c r="R47" s="387">
        <v>0.2036</v>
      </c>
      <c r="S47" s="404">
        <f t="shared" si="4"/>
        <v>19026.419999999998</v>
      </c>
      <c r="T47" s="380"/>
      <c r="U47" s="392">
        <v>23.684210526315791</v>
      </c>
      <c r="V47" s="387">
        <v>1.7611399999999999</v>
      </c>
      <c r="W47" s="405">
        <f t="shared" si="5"/>
        <v>1585.0260000000001</v>
      </c>
      <c r="X47" s="376"/>
      <c r="Y47" s="394"/>
      <c r="Z47" s="395"/>
      <c r="AA47" s="406"/>
      <c r="AB47" s="395"/>
      <c r="AC47" s="407"/>
      <c r="AD47" s="376"/>
      <c r="AE47" s="408"/>
      <c r="AF47" s="409"/>
      <c r="AG47" s="410">
        <f t="shared" si="6"/>
        <v>0</v>
      </c>
      <c r="AH47" s="376"/>
      <c r="AI47" s="392">
        <v>713.68421052631584</v>
      </c>
      <c r="AJ47" s="387">
        <v>0.2036</v>
      </c>
      <c r="AK47" s="404">
        <f t="shared" si="7"/>
        <v>5521.6320000000005</v>
      </c>
      <c r="AL47" s="376"/>
      <c r="AM47" s="411">
        <f t="shared" si="8"/>
        <v>139352.07800000001</v>
      </c>
      <c r="AN47" s="385"/>
      <c r="AO47" s="402">
        <f>VLOOKUP(C47,'Prior Year Adj 13-14'!C:AZ,50,FALSE)</f>
        <v>-12575.564599999998</v>
      </c>
      <c r="AP47" s="402"/>
      <c r="AQ47" s="402">
        <f t="shared" si="10"/>
        <v>126776.51340000001</v>
      </c>
      <c r="AS47" s="678"/>
    </row>
    <row r="48" spans="1:45" ht="15" x14ac:dyDescent="0.25">
      <c r="A48" s="375" t="s">
        <v>105</v>
      </c>
      <c r="B48" s="332" t="s">
        <v>548</v>
      </c>
      <c r="C48" s="332">
        <v>3526</v>
      </c>
      <c r="D48" s="376"/>
      <c r="E48" s="403">
        <v>760</v>
      </c>
      <c r="F48" s="387">
        <f t="shared" si="0"/>
        <v>22800</v>
      </c>
      <c r="G48" s="387">
        <v>7200</v>
      </c>
      <c r="H48" s="387">
        <v>4830</v>
      </c>
      <c r="I48" s="387">
        <v>4500</v>
      </c>
      <c r="J48" s="388">
        <f t="shared" si="9"/>
        <v>16530</v>
      </c>
      <c r="K48" s="387">
        <f t="shared" si="1"/>
        <v>6270</v>
      </c>
      <c r="L48" s="387">
        <f t="shared" si="2"/>
        <v>16530</v>
      </c>
      <c r="M48" s="387" t="s">
        <v>504</v>
      </c>
      <c r="N48" s="389">
        <v>3.5636999999999999</v>
      </c>
      <c r="O48" s="404">
        <f t="shared" si="3"/>
        <v>58908</v>
      </c>
      <c r="P48" s="380"/>
      <c r="Q48" s="391">
        <v>1357.1052631578948</v>
      </c>
      <c r="R48" s="387">
        <v>0.2036</v>
      </c>
      <c r="S48" s="404">
        <f t="shared" si="4"/>
        <v>10499.652</v>
      </c>
      <c r="T48" s="380"/>
      <c r="U48" s="392">
        <v>18.94736842105263</v>
      </c>
      <c r="V48" s="387">
        <v>1.7611399999999999</v>
      </c>
      <c r="W48" s="405">
        <f t="shared" si="5"/>
        <v>1268.0207999999998</v>
      </c>
      <c r="X48" s="376"/>
      <c r="Y48" s="394"/>
      <c r="Z48" s="395"/>
      <c r="AA48" s="406"/>
      <c r="AB48" s="395"/>
      <c r="AC48" s="407"/>
      <c r="AD48" s="376"/>
      <c r="AE48" s="408"/>
      <c r="AF48" s="409"/>
      <c r="AG48" s="410">
        <f t="shared" si="6"/>
        <v>0</v>
      </c>
      <c r="AH48" s="376"/>
      <c r="AI48" s="392">
        <v>264.4736842105263</v>
      </c>
      <c r="AJ48" s="387">
        <v>0.2036</v>
      </c>
      <c r="AK48" s="404">
        <f t="shared" si="7"/>
        <v>2046.18</v>
      </c>
      <c r="AL48" s="376"/>
      <c r="AM48" s="411">
        <f t="shared" si="8"/>
        <v>72721.852799999993</v>
      </c>
      <c r="AN48" s="385"/>
      <c r="AO48" s="402">
        <f>VLOOKUP(C48,'Prior Year Adj 13-14'!C:AZ,50,FALSE)</f>
        <v>-10505.651199999993</v>
      </c>
      <c r="AP48" s="402"/>
      <c r="AQ48" s="402">
        <f t="shared" si="10"/>
        <v>62216.2016</v>
      </c>
      <c r="AS48" s="678"/>
    </row>
    <row r="49" spans="1:49" ht="15" x14ac:dyDescent="0.25">
      <c r="A49" s="375" t="s">
        <v>109</v>
      </c>
      <c r="B49" s="332" t="s">
        <v>549</v>
      </c>
      <c r="C49" s="332">
        <v>3528</v>
      </c>
      <c r="D49" s="376"/>
      <c r="E49" s="403">
        <v>1976</v>
      </c>
      <c r="F49" s="387">
        <f t="shared" si="0"/>
        <v>59280</v>
      </c>
      <c r="G49" s="387">
        <v>9720</v>
      </c>
      <c r="H49" s="387">
        <v>6720</v>
      </c>
      <c r="I49" s="387">
        <v>7200</v>
      </c>
      <c r="J49" s="388">
        <f t="shared" si="9"/>
        <v>23640</v>
      </c>
      <c r="K49" s="387">
        <f t="shared" si="1"/>
        <v>35640</v>
      </c>
      <c r="L49" s="387">
        <f t="shared" si="2"/>
        <v>23640</v>
      </c>
      <c r="M49" s="387" t="s">
        <v>504</v>
      </c>
      <c r="N49" s="389">
        <v>3.5636999999999999</v>
      </c>
      <c r="O49" s="404">
        <f t="shared" si="3"/>
        <v>84246</v>
      </c>
      <c r="P49" s="380"/>
      <c r="Q49" s="391">
        <v>528</v>
      </c>
      <c r="R49" s="387">
        <v>0.2036</v>
      </c>
      <c r="S49" s="404">
        <f t="shared" si="4"/>
        <v>4085.0304000000001</v>
      </c>
      <c r="T49" s="380"/>
      <c r="U49" s="392">
        <v>15</v>
      </c>
      <c r="V49" s="387">
        <v>1.7611399999999999</v>
      </c>
      <c r="W49" s="405">
        <f t="shared" si="5"/>
        <v>1003.8498</v>
      </c>
      <c r="X49" s="376"/>
      <c r="Y49" s="394"/>
      <c r="Z49" s="395"/>
      <c r="AA49" s="406"/>
      <c r="AB49" s="395"/>
      <c r="AC49" s="407"/>
      <c r="AD49" s="376"/>
      <c r="AE49" s="408"/>
      <c r="AF49" s="409"/>
      <c r="AG49" s="410">
        <f t="shared" si="6"/>
        <v>0</v>
      </c>
      <c r="AH49" s="376"/>
      <c r="AI49" s="392">
        <v>151.42105263157896</v>
      </c>
      <c r="AJ49" s="387">
        <v>0.2036</v>
      </c>
      <c r="AK49" s="404">
        <f t="shared" si="7"/>
        <v>1171.5144</v>
      </c>
      <c r="AL49" s="376"/>
      <c r="AM49" s="411">
        <f t="shared" si="8"/>
        <v>90506.3946</v>
      </c>
      <c r="AN49" s="385"/>
      <c r="AO49" s="402">
        <f>VLOOKUP(C49,'Prior Year Adj 13-14'!C:AZ,50,FALSE)</f>
        <v>2619.0046000000002</v>
      </c>
      <c r="AP49" s="402"/>
      <c r="AQ49" s="402">
        <f t="shared" si="10"/>
        <v>93125.3992</v>
      </c>
      <c r="AS49" s="678"/>
    </row>
    <row r="50" spans="1:49" ht="15" x14ac:dyDescent="0.25">
      <c r="A50" s="375" t="s">
        <v>41</v>
      </c>
      <c r="B50" s="332" t="s">
        <v>550</v>
      </c>
      <c r="C50" s="332">
        <v>1010</v>
      </c>
      <c r="D50" s="376"/>
      <c r="E50" s="403">
        <v>1520</v>
      </c>
      <c r="F50" s="387">
        <f t="shared" si="0"/>
        <v>45600</v>
      </c>
      <c r="G50" s="387">
        <v>13320</v>
      </c>
      <c r="H50" s="387">
        <v>9450</v>
      </c>
      <c r="I50" s="387">
        <v>10800</v>
      </c>
      <c r="J50" s="388">
        <f t="shared" si="9"/>
        <v>33570</v>
      </c>
      <c r="K50" s="387">
        <f t="shared" si="1"/>
        <v>12030</v>
      </c>
      <c r="L50" s="387">
        <f t="shared" si="2"/>
        <v>33570</v>
      </c>
      <c r="M50" s="387" t="s">
        <v>507</v>
      </c>
      <c r="N50" s="324">
        <v>5.5246000000000004</v>
      </c>
      <c r="O50" s="404">
        <f t="shared" si="3"/>
        <v>185461</v>
      </c>
      <c r="P50" s="380"/>
      <c r="Q50" s="391">
        <v>2418.4736842105262</v>
      </c>
      <c r="R50" s="387">
        <v>0.2036</v>
      </c>
      <c r="S50" s="404">
        <f t="shared" si="4"/>
        <v>18711.247200000002</v>
      </c>
      <c r="T50" s="380"/>
      <c r="U50" s="392">
        <v>9.473684210526315</v>
      </c>
      <c r="V50" s="387">
        <v>1.7611399999999999</v>
      </c>
      <c r="W50" s="405">
        <f t="shared" si="5"/>
        <v>634.01039999999989</v>
      </c>
      <c r="X50" s="376"/>
      <c r="Y50" s="394"/>
      <c r="Z50" s="395"/>
      <c r="AA50" s="406"/>
      <c r="AB50" s="395"/>
      <c r="AC50" s="407">
        <v>9761</v>
      </c>
      <c r="AD50" s="376"/>
      <c r="AE50" s="408">
        <v>1</v>
      </c>
      <c r="AF50" s="409">
        <v>100000</v>
      </c>
      <c r="AG50" s="410">
        <f t="shared" si="6"/>
        <v>100000</v>
      </c>
      <c r="AH50" s="376"/>
      <c r="AI50" s="392">
        <v>699.47368421052636</v>
      </c>
      <c r="AJ50" s="387">
        <v>0.2036</v>
      </c>
      <c r="AK50" s="404">
        <f t="shared" si="7"/>
        <v>5411.6880000000001</v>
      </c>
      <c r="AL50" s="376"/>
      <c r="AM50" s="411">
        <f t="shared" si="8"/>
        <v>319978.94559999998</v>
      </c>
      <c r="AN50" s="385"/>
      <c r="AO50" s="402">
        <f>VLOOKUP(C50,'Prior Year Adj 13-14'!C:AZ,50,FALSE)</f>
        <v>-25460.822000000102</v>
      </c>
      <c r="AP50" s="402"/>
      <c r="AQ50" s="402">
        <f t="shared" si="10"/>
        <v>294518.12359999988</v>
      </c>
      <c r="AS50" s="678"/>
    </row>
    <row r="51" spans="1:49" ht="15" x14ac:dyDescent="0.25">
      <c r="A51" s="375" t="s">
        <v>112</v>
      </c>
      <c r="B51" s="332" t="s">
        <v>551</v>
      </c>
      <c r="C51" s="332">
        <v>3546</v>
      </c>
      <c r="D51" s="376"/>
      <c r="E51" s="403">
        <v>1482</v>
      </c>
      <c r="F51" s="387">
        <f t="shared" si="0"/>
        <v>44460</v>
      </c>
      <c r="G51" s="387">
        <v>14040</v>
      </c>
      <c r="H51" s="387">
        <v>16380</v>
      </c>
      <c r="I51" s="387">
        <v>14040</v>
      </c>
      <c r="J51" s="388">
        <f t="shared" si="9"/>
        <v>44460</v>
      </c>
      <c r="K51" s="387">
        <f t="shared" si="1"/>
        <v>0</v>
      </c>
      <c r="L51" s="387">
        <f t="shared" si="2"/>
        <v>44460</v>
      </c>
      <c r="M51" s="387" t="s">
        <v>504</v>
      </c>
      <c r="N51" s="389">
        <v>3.5636999999999999</v>
      </c>
      <c r="O51" s="404">
        <f t="shared" si="3"/>
        <v>158442</v>
      </c>
      <c r="P51" s="380"/>
      <c r="Q51" s="391">
        <v>2582.3684210526317</v>
      </c>
      <c r="R51" s="387">
        <v>0.2036</v>
      </c>
      <c r="S51" s="404">
        <f t="shared" si="4"/>
        <v>19979.268000000004</v>
      </c>
      <c r="T51" s="380"/>
      <c r="U51" s="392">
        <v>29.210526315789473</v>
      </c>
      <c r="V51" s="387">
        <v>1.7611399999999999</v>
      </c>
      <c r="W51" s="405">
        <f t="shared" si="5"/>
        <v>1954.8653999999999</v>
      </c>
      <c r="X51" s="376"/>
      <c r="Y51" s="394"/>
      <c r="Z51" s="395"/>
      <c r="AA51" s="406"/>
      <c r="AB51" s="395"/>
      <c r="AC51" s="407"/>
      <c r="AD51" s="376"/>
      <c r="AE51" s="408"/>
      <c r="AF51" s="409"/>
      <c r="AG51" s="410">
        <f t="shared" si="6"/>
        <v>0</v>
      </c>
      <c r="AH51" s="376"/>
      <c r="AI51" s="392">
        <v>456.31578947368422</v>
      </c>
      <c r="AJ51" s="387">
        <v>0.2036</v>
      </c>
      <c r="AK51" s="404">
        <f t="shared" si="7"/>
        <v>3530.4240000000004</v>
      </c>
      <c r="AL51" s="376"/>
      <c r="AM51" s="411">
        <f t="shared" si="8"/>
        <v>183906.55739999999</v>
      </c>
      <c r="AN51" s="385"/>
      <c r="AO51" s="402">
        <f>VLOOKUP(C51,'Prior Year Adj 13-14'!C:AZ,50,FALSE)</f>
        <v>5240.1183999999776</v>
      </c>
      <c r="AP51" s="402"/>
      <c r="AQ51" s="402">
        <f t="shared" si="10"/>
        <v>189146.67579999997</v>
      </c>
      <c r="AS51" s="678"/>
    </row>
    <row r="52" spans="1:49" ht="15" x14ac:dyDescent="0.25">
      <c r="A52" s="375" t="s">
        <v>42</v>
      </c>
      <c r="B52" s="332" t="s">
        <v>552</v>
      </c>
      <c r="C52" s="332">
        <v>1009</v>
      </c>
      <c r="D52" s="376"/>
      <c r="E52" s="403">
        <v>1520</v>
      </c>
      <c r="F52" s="387">
        <f t="shared" si="0"/>
        <v>45600</v>
      </c>
      <c r="G52" s="387">
        <v>14400</v>
      </c>
      <c r="H52" s="387">
        <v>16800</v>
      </c>
      <c r="I52" s="387">
        <v>14400</v>
      </c>
      <c r="J52" s="388">
        <f t="shared" si="9"/>
        <v>45600</v>
      </c>
      <c r="K52" s="387">
        <f t="shared" si="1"/>
        <v>0</v>
      </c>
      <c r="L52" s="387">
        <f t="shared" si="2"/>
        <v>45600</v>
      </c>
      <c r="M52" s="387" t="s">
        <v>507</v>
      </c>
      <c r="N52" s="324">
        <v>5.5246000000000004</v>
      </c>
      <c r="O52" s="404">
        <f t="shared" si="3"/>
        <v>251922</v>
      </c>
      <c r="P52" s="380"/>
      <c r="Q52" s="391">
        <v>3328.0263157894738</v>
      </c>
      <c r="R52" s="387">
        <v>0.2036</v>
      </c>
      <c r="S52" s="404">
        <f t="shared" si="4"/>
        <v>25748.274000000001</v>
      </c>
      <c r="T52" s="380"/>
      <c r="U52" s="392">
        <v>14.210526315789474</v>
      </c>
      <c r="V52" s="387">
        <v>1.7611399999999999</v>
      </c>
      <c r="W52" s="405">
        <f t="shared" si="5"/>
        <v>951.01560000000006</v>
      </c>
      <c r="X52" s="376"/>
      <c r="Y52" s="394"/>
      <c r="Z52" s="395"/>
      <c r="AA52" s="406"/>
      <c r="AB52" s="395"/>
      <c r="AC52" s="407">
        <v>9761</v>
      </c>
      <c r="AD52" s="376"/>
      <c r="AE52" s="408">
        <v>1</v>
      </c>
      <c r="AF52" s="409">
        <v>100000</v>
      </c>
      <c r="AG52" s="410">
        <f t="shared" si="6"/>
        <v>100000</v>
      </c>
      <c r="AH52" s="376"/>
      <c r="AI52" s="392">
        <v>525.39473684210532</v>
      </c>
      <c r="AJ52" s="387">
        <v>0.2036</v>
      </c>
      <c r="AK52" s="404">
        <f t="shared" si="7"/>
        <v>4064.8740000000003</v>
      </c>
      <c r="AL52" s="376"/>
      <c r="AM52" s="411">
        <f t="shared" si="8"/>
        <v>392447.16359999997</v>
      </c>
      <c r="AN52" s="385"/>
      <c r="AO52" s="402">
        <f>VLOOKUP(C52,'Prior Year Adj 13-14'!C:AZ,50,FALSE)</f>
        <v>-11582.272799999977</v>
      </c>
      <c r="AP52" s="402"/>
      <c r="AQ52" s="402">
        <f t="shared" si="10"/>
        <v>380864.89079999999</v>
      </c>
      <c r="AS52" s="678"/>
    </row>
    <row r="53" spans="1:49" ht="15" x14ac:dyDescent="0.25">
      <c r="A53" s="375" t="s">
        <v>113</v>
      </c>
      <c r="B53" s="332" t="s">
        <v>553</v>
      </c>
      <c r="C53" s="332">
        <v>3530</v>
      </c>
      <c r="D53" s="376"/>
      <c r="E53" s="403">
        <v>988</v>
      </c>
      <c r="F53" s="387">
        <f t="shared" si="0"/>
        <v>29640</v>
      </c>
      <c r="G53" s="387">
        <v>8100</v>
      </c>
      <c r="H53" s="387">
        <v>8400</v>
      </c>
      <c r="I53" s="387">
        <v>9000</v>
      </c>
      <c r="J53" s="388">
        <f t="shared" si="9"/>
        <v>25500</v>
      </c>
      <c r="K53" s="387">
        <f t="shared" si="1"/>
        <v>4140</v>
      </c>
      <c r="L53" s="387">
        <f t="shared" si="2"/>
        <v>25500</v>
      </c>
      <c r="M53" s="387" t="s">
        <v>504</v>
      </c>
      <c r="N53" s="389">
        <v>3.5636999999999999</v>
      </c>
      <c r="O53" s="404">
        <f>ROUND(N53*L53,0)</f>
        <v>90874</v>
      </c>
      <c r="P53" s="380"/>
      <c r="Q53" s="391">
        <v>78.94736842105263</v>
      </c>
      <c r="R53" s="387">
        <v>0.2036</v>
      </c>
      <c r="S53" s="404">
        <f t="shared" si="4"/>
        <v>610.80000000000007</v>
      </c>
      <c r="T53" s="380"/>
      <c r="U53" s="392">
        <v>9.473684210526315</v>
      </c>
      <c r="V53" s="387">
        <v>1.7611399999999999</v>
      </c>
      <c r="W53" s="405">
        <f t="shared" si="5"/>
        <v>634.01039999999989</v>
      </c>
      <c r="X53" s="376"/>
      <c r="Y53" s="394"/>
      <c r="Z53" s="395"/>
      <c r="AA53" s="406"/>
      <c r="AB53" s="395"/>
      <c r="AC53" s="407"/>
      <c r="AD53" s="376"/>
      <c r="AE53" s="408"/>
      <c r="AF53" s="409"/>
      <c r="AG53" s="410">
        <f t="shared" si="6"/>
        <v>0</v>
      </c>
      <c r="AH53" s="376"/>
      <c r="AI53" s="392">
        <v>30</v>
      </c>
      <c r="AJ53" s="387">
        <v>0.2036</v>
      </c>
      <c r="AK53" s="404">
        <f t="shared" si="7"/>
        <v>232.10400000000001</v>
      </c>
      <c r="AL53" s="376"/>
      <c r="AM53" s="411">
        <f t="shared" si="8"/>
        <v>92350.914399999994</v>
      </c>
      <c r="AN53" s="385"/>
      <c r="AO53" s="402">
        <f>VLOOKUP(C53,'Prior Year Adj 13-14'!C:AZ,50,FALSE)</f>
        <v>-10716.626600000003</v>
      </c>
      <c r="AP53" s="402"/>
      <c r="AQ53" s="402">
        <f t="shared" si="10"/>
        <v>81634.287799999991</v>
      </c>
      <c r="AS53" s="678"/>
    </row>
    <row r="54" spans="1:49" ht="15" x14ac:dyDescent="0.25">
      <c r="A54" s="375" t="s">
        <v>43</v>
      </c>
      <c r="B54" s="332" t="s">
        <v>554</v>
      </c>
      <c r="C54" s="332">
        <v>1015</v>
      </c>
      <c r="D54" s="376"/>
      <c r="E54" s="418">
        <v>1520</v>
      </c>
      <c r="F54" s="419">
        <f t="shared" si="0"/>
        <v>45600</v>
      </c>
      <c r="G54" s="387">
        <v>13356</v>
      </c>
      <c r="H54" s="387">
        <v>16170</v>
      </c>
      <c r="I54" s="387">
        <v>13860</v>
      </c>
      <c r="J54" s="388">
        <f t="shared" si="9"/>
        <v>43386</v>
      </c>
      <c r="K54" s="419">
        <f t="shared" si="1"/>
        <v>2214</v>
      </c>
      <c r="L54" s="419">
        <f t="shared" si="2"/>
        <v>43386</v>
      </c>
      <c r="M54" s="419" t="s">
        <v>507</v>
      </c>
      <c r="N54" s="324">
        <v>5.5246000000000004</v>
      </c>
      <c r="O54" s="420">
        <f t="shared" si="3"/>
        <v>239690</v>
      </c>
      <c r="P54" s="380"/>
      <c r="Q54" s="391">
        <v>381.78947368421052</v>
      </c>
      <c r="R54" s="419">
        <v>0.2036</v>
      </c>
      <c r="S54" s="420">
        <f t="shared" si="4"/>
        <v>2953.8288000000002</v>
      </c>
      <c r="T54" s="380"/>
      <c r="U54" s="392">
        <v>4.7368421052631575</v>
      </c>
      <c r="V54" s="419">
        <v>1.7611399999999999</v>
      </c>
      <c r="W54" s="421">
        <f t="shared" si="5"/>
        <v>317.00519999999995</v>
      </c>
      <c r="X54" s="376"/>
      <c r="Y54" s="422"/>
      <c r="Z54" s="395"/>
      <c r="AA54" s="423"/>
      <c r="AB54" s="395"/>
      <c r="AC54" s="424">
        <v>22825</v>
      </c>
      <c r="AD54" s="376"/>
      <c r="AE54" s="425">
        <v>1</v>
      </c>
      <c r="AF54" s="409">
        <v>100000</v>
      </c>
      <c r="AG54" s="426">
        <f t="shared" si="6"/>
        <v>100000</v>
      </c>
      <c r="AH54" s="376"/>
      <c r="AI54" s="392">
        <v>14.210526315789474</v>
      </c>
      <c r="AJ54" s="419">
        <v>0.2036</v>
      </c>
      <c r="AK54" s="420">
        <f t="shared" si="7"/>
        <v>109.944</v>
      </c>
      <c r="AL54" s="376"/>
      <c r="AM54" s="427">
        <f t="shared" si="8"/>
        <v>365895.77799999999</v>
      </c>
      <c r="AN54" s="385"/>
      <c r="AO54" s="402">
        <f>VLOOKUP(C54,'Prior Year Adj 13-14'!C:AZ,50,FALSE)</f>
        <v>-4876.8907999999356</v>
      </c>
      <c r="AP54" s="402"/>
      <c r="AQ54" s="402">
        <f t="shared" si="10"/>
        <v>361018.88720000006</v>
      </c>
    </row>
    <row r="55" spans="1:49" ht="15" x14ac:dyDescent="0.25">
      <c r="A55" s="375"/>
      <c r="B55" s="332"/>
      <c r="C55" s="332"/>
      <c r="D55" s="376"/>
      <c r="E55" s="377"/>
      <c r="F55" s="377"/>
      <c r="G55" s="377"/>
      <c r="H55" s="377"/>
      <c r="I55" s="377"/>
      <c r="J55" s="379"/>
      <c r="K55" s="377"/>
      <c r="L55" s="377"/>
      <c r="M55" s="377"/>
      <c r="N55" s="377"/>
      <c r="O55" s="379"/>
      <c r="P55" s="380"/>
      <c r="Q55" s="428"/>
      <c r="R55" s="377"/>
      <c r="S55" s="379"/>
      <c r="T55" s="380"/>
      <c r="U55" s="428"/>
      <c r="V55" s="377"/>
      <c r="W55" s="381"/>
      <c r="X55" s="376"/>
      <c r="Y55" s="429"/>
      <c r="Z55" s="395"/>
      <c r="AA55" s="429"/>
      <c r="AB55" s="395"/>
      <c r="AC55" s="429"/>
      <c r="AD55" s="376"/>
      <c r="AE55" s="377"/>
      <c r="AF55" s="377"/>
      <c r="AG55" s="379"/>
      <c r="AH55" s="376"/>
      <c r="AI55" s="428"/>
      <c r="AJ55" s="377"/>
      <c r="AK55" s="379"/>
      <c r="AL55" s="376"/>
      <c r="AM55" s="379"/>
      <c r="AN55" s="385"/>
      <c r="AO55" s="402"/>
      <c r="AP55" s="402"/>
      <c r="AQ55" s="402"/>
    </row>
    <row r="56" spans="1:49" s="444" customFormat="1" ht="15" x14ac:dyDescent="0.25">
      <c r="A56" s="430" t="s">
        <v>555</v>
      </c>
      <c r="B56" s="431"/>
      <c r="C56" s="431"/>
      <c r="D56" s="432"/>
      <c r="E56" s="433">
        <f t="shared" ref="E56:J56" si="11">SUM(E7:E55)</f>
        <v>63878</v>
      </c>
      <c r="F56" s="433">
        <f t="shared" si="11"/>
        <v>1916340</v>
      </c>
      <c r="G56" s="433">
        <f t="shared" si="11"/>
        <v>506826</v>
      </c>
      <c r="H56" s="433">
        <f t="shared" si="11"/>
        <v>462420</v>
      </c>
      <c r="I56" s="433">
        <f t="shared" si="11"/>
        <v>467550</v>
      </c>
      <c r="J56" s="434">
        <f t="shared" si="11"/>
        <v>1436796</v>
      </c>
      <c r="K56" s="435"/>
      <c r="L56" s="434">
        <f>SUM(L7:L55)</f>
        <v>1436796</v>
      </c>
      <c r="M56" s="436"/>
      <c r="N56" s="436"/>
      <c r="O56" s="433">
        <f>SUM(O7:O55)</f>
        <v>5706472</v>
      </c>
      <c r="P56" s="437"/>
      <c r="Q56" s="438">
        <f>SUM(Q7:Q55)</f>
        <v>63669.42105263158</v>
      </c>
      <c r="R56" s="436"/>
      <c r="S56" s="433">
        <f>SUM(S7:S55)</f>
        <v>492597.57679999992</v>
      </c>
      <c r="T56" s="437"/>
      <c r="U56" s="438">
        <f>SUM(U7:U55)</f>
        <v>1052.8947368421052</v>
      </c>
      <c r="V56" s="436"/>
      <c r="W56" s="439">
        <f>SUM(W7:W55)</f>
        <v>70463.211399999986</v>
      </c>
      <c r="X56" s="432"/>
      <c r="Y56" s="440">
        <f>SUM(Y7:Y55)</f>
        <v>252055</v>
      </c>
      <c r="Z56" s="432"/>
      <c r="AA56" s="440">
        <f>SUM(AA7:AA55)</f>
        <v>0</v>
      </c>
      <c r="AB56" s="432"/>
      <c r="AC56" s="440">
        <f>SUM(AC7:AC55)</f>
        <v>75258</v>
      </c>
      <c r="AD56" s="440">
        <f>SUM(AD7:AD55)</f>
        <v>0</v>
      </c>
      <c r="AE56" s="440">
        <f>SUM(AE7:AE55)</f>
        <v>8</v>
      </c>
      <c r="AF56" s="436"/>
      <c r="AG56" s="433">
        <f>SUM(AG7:AG55)</f>
        <v>800000</v>
      </c>
      <c r="AH56" s="432"/>
      <c r="AI56" s="438">
        <f>SUM(AI7:AI55)</f>
        <v>8857.1052631578968</v>
      </c>
      <c r="AJ56" s="436"/>
      <c r="AK56" s="440">
        <f>SUM(AK7:AK55)</f>
        <v>68525.652000000002</v>
      </c>
      <c r="AL56" s="432"/>
      <c r="AM56" s="441">
        <f>SUM(AM7:AM55)</f>
        <v>7465371.4402000001</v>
      </c>
      <c r="AN56" s="442"/>
      <c r="AO56" s="441">
        <f>SUM(AO7:AO55)</f>
        <v>-227074.80013159994</v>
      </c>
      <c r="AP56" s="441">
        <f>SUM(AP7:AP55)</f>
        <v>0</v>
      </c>
      <c r="AQ56" s="441">
        <f>SUM(AQ7:AQ55)</f>
        <v>7238296.6400684025</v>
      </c>
      <c r="AR56" s="443"/>
    </row>
    <row r="57" spans="1:49" s="444" customFormat="1" ht="15" x14ac:dyDescent="0.25">
      <c r="A57" s="430"/>
      <c r="B57" s="431"/>
      <c r="C57" s="431"/>
      <c r="D57" s="432"/>
      <c r="E57" s="436"/>
      <c r="F57" s="436"/>
      <c r="G57" s="436"/>
      <c r="H57" s="436"/>
      <c r="I57" s="436"/>
      <c r="J57" s="434"/>
      <c r="K57" s="435"/>
      <c r="L57" s="435"/>
      <c r="M57" s="436"/>
      <c r="N57" s="436"/>
      <c r="O57" s="445"/>
      <c r="P57" s="437"/>
      <c r="Q57" s="438"/>
      <c r="R57" s="436"/>
      <c r="S57" s="445"/>
      <c r="T57" s="437"/>
      <c r="U57" s="438"/>
      <c r="V57" s="436"/>
      <c r="W57" s="446"/>
      <c r="X57" s="432"/>
      <c r="Y57" s="447"/>
      <c r="Z57" s="432"/>
      <c r="AA57" s="447"/>
      <c r="AB57" s="432"/>
      <c r="AC57" s="447"/>
      <c r="AD57" s="432"/>
      <c r="AE57" s="436"/>
      <c r="AF57" s="436"/>
      <c r="AG57" s="445"/>
      <c r="AH57" s="432"/>
      <c r="AI57" s="438"/>
      <c r="AJ57" s="436"/>
      <c r="AK57" s="447"/>
      <c r="AL57" s="432"/>
      <c r="AM57" s="447"/>
      <c r="AN57" s="442"/>
      <c r="AO57" s="402">
        <f>AO56-'Prior Year Adj 13-14'!AZ55</f>
        <v>0</v>
      </c>
      <c r="AP57" s="402"/>
      <c r="AQ57" s="402"/>
      <c r="AR57" s="443"/>
    </row>
    <row r="58" spans="1:49" s="444" customFormat="1" ht="15" x14ac:dyDescent="0.25">
      <c r="A58" s="430"/>
      <c r="B58" s="431"/>
      <c r="C58" s="431"/>
      <c r="D58" s="432"/>
      <c r="E58" s="436"/>
      <c r="F58" s="436"/>
      <c r="G58" s="436"/>
      <c r="H58" s="436"/>
      <c r="I58" s="436"/>
      <c r="J58" s="434"/>
      <c r="K58" s="435"/>
      <c r="L58" s="435"/>
      <c r="M58" s="436"/>
      <c r="N58" s="436"/>
      <c r="O58" s="445"/>
      <c r="P58" s="437"/>
      <c r="Q58" s="438"/>
      <c r="R58" s="436"/>
      <c r="S58" s="445"/>
      <c r="T58" s="437"/>
      <c r="U58" s="438"/>
      <c r="V58" s="436"/>
      <c r="W58" s="446"/>
      <c r="X58" s="432"/>
      <c r="Y58" s="447"/>
      <c r="Z58" s="432"/>
      <c r="AA58" s="447"/>
      <c r="AB58" s="432"/>
      <c r="AC58" s="447"/>
      <c r="AD58" s="432"/>
      <c r="AE58" s="436"/>
      <c r="AF58" s="436"/>
      <c r="AG58" s="445"/>
      <c r="AH58" s="432"/>
      <c r="AI58" s="438"/>
      <c r="AJ58" s="436"/>
      <c r="AK58" s="447"/>
      <c r="AL58" s="432"/>
      <c r="AM58" s="447"/>
      <c r="AN58" s="442"/>
      <c r="AO58" s="402"/>
      <c r="AP58" s="402"/>
      <c r="AQ58" s="402"/>
      <c r="AR58" s="443"/>
    </row>
    <row r="59" spans="1:49" s="456" customFormat="1" ht="51" x14ac:dyDescent="0.25">
      <c r="A59" s="448" t="s">
        <v>556</v>
      </c>
      <c r="B59" s="448" t="s">
        <v>557</v>
      </c>
      <c r="C59" s="448" t="s">
        <v>558</v>
      </c>
      <c r="D59" s="449"/>
      <c r="E59" s="448" t="s">
        <v>475</v>
      </c>
      <c r="F59" s="448" t="s">
        <v>476</v>
      </c>
      <c r="G59" s="450" t="s">
        <v>477</v>
      </c>
      <c r="H59" s="450" t="s">
        <v>478</v>
      </c>
      <c r="I59" s="450" t="s">
        <v>479</v>
      </c>
      <c r="J59" s="451" t="s">
        <v>480</v>
      </c>
      <c r="K59" s="448" t="s">
        <v>481</v>
      </c>
      <c r="L59" s="448" t="s">
        <v>482</v>
      </c>
      <c r="M59" s="448" t="s">
        <v>483</v>
      </c>
      <c r="N59" s="448" t="s">
        <v>484</v>
      </c>
      <c r="O59" s="452" t="s">
        <v>485</v>
      </c>
      <c r="P59" s="449"/>
      <c r="Q59" s="448" t="s">
        <v>486</v>
      </c>
      <c r="R59" s="448" t="s">
        <v>487</v>
      </c>
      <c r="S59" s="452" t="s">
        <v>488</v>
      </c>
      <c r="T59" s="449"/>
      <c r="U59" s="448" t="s">
        <v>489</v>
      </c>
      <c r="V59" s="448" t="s">
        <v>487</v>
      </c>
      <c r="W59" s="453" t="s">
        <v>490</v>
      </c>
      <c r="X59" s="449"/>
      <c r="Y59" s="454" t="s">
        <v>491</v>
      </c>
      <c r="Z59" s="449"/>
      <c r="AA59" s="454" t="s">
        <v>492</v>
      </c>
      <c r="AB59" s="449"/>
      <c r="AC59" s="454" t="s">
        <v>493</v>
      </c>
      <c r="AD59" s="449"/>
      <c r="AE59" s="448" t="s">
        <v>494</v>
      </c>
      <c r="AF59" s="448" t="s">
        <v>495</v>
      </c>
      <c r="AG59" s="452" t="s">
        <v>559</v>
      </c>
      <c r="AH59" s="449"/>
      <c r="AI59" s="448" t="s">
        <v>497</v>
      </c>
      <c r="AJ59" s="448" t="s">
        <v>487</v>
      </c>
      <c r="AK59" s="452" t="s">
        <v>498</v>
      </c>
      <c r="AL59" s="449"/>
      <c r="AM59" s="452" t="s">
        <v>560</v>
      </c>
      <c r="AN59" s="455"/>
      <c r="AO59" s="402"/>
      <c r="AP59" s="402"/>
      <c r="AQ59" s="402"/>
      <c r="AR59" s="28"/>
      <c r="AV59" s="29"/>
      <c r="AW59" s="29"/>
    </row>
    <row r="60" spans="1:49" customFormat="1" ht="15" x14ac:dyDescent="0.25">
      <c r="A60" s="205"/>
      <c r="B60" s="196"/>
      <c r="C60" s="196"/>
      <c r="D60" s="457"/>
      <c r="E60" s="458"/>
      <c r="F60" s="458"/>
      <c r="G60" s="315"/>
      <c r="H60" s="315"/>
      <c r="I60" s="315"/>
      <c r="J60" s="459"/>
      <c r="K60" s="458"/>
      <c r="L60" s="458"/>
      <c r="M60" s="458"/>
      <c r="N60" s="458"/>
      <c r="O60" s="460"/>
      <c r="P60" s="461"/>
      <c r="Q60" s="458"/>
      <c r="R60" s="458"/>
      <c r="S60" s="460"/>
      <c r="T60" s="461"/>
      <c r="U60" s="458"/>
      <c r="V60" s="458"/>
      <c r="W60" s="315"/>
      <c r="X60" s="457"/>
      <c r="Y60" s="462"/>
      <c r="Z60" s="463"/>
      <c r="AA60" s="462"/>
      <c r="AB60" s="463"/>
      <c r="AC60" s="462"/>
      <c r="AD60" s="457"/>
      <c r="AE60" s="458"/>
      <c r="AF60" s="458"/>
      <c r="AG60" s="460"/>
      <c r="AH60" s="457"/>
      <c r="AI60" s="458"/>
      <c r="AJ60" s="458"/>
      <c r="AK60" s="460"/>
      <c r="AL60" s="457"/>
      <c r="AM60" s="460"/>
      <c r="AN60" s="464"/>
      <c r="AO60" s="402"/>
      <c r="AP60" s="402"/>
      <c r="AQ60" s="402"/>
      <c r="AR60" s="198"/>
      <c r="AV60" s="29"/>
      <c r="AW60" s="29"/>
    </row>
    <row r="61" spans="1:49" customFormat="1" ht="15" x14ac:dyDescent="0.25">
      <c r="A61" s="205" t="s">
        <v>561</v>
      </c>
      <c r="B61" s="196" t="s">
        <v>562</v>
      </c>
      <c r="C61" s="196">
        <v>206189</v>
      </c>
      <c r="D61" s="457"/>
      <c r="E61" s="465"/>
      <c r="F61" s="466"/>
      <c r="G61" s="467">
        <v>6120</v>
      </c>
      <c r="H61" s="467">
        <v>3920</v>
      </c>
      <c r="I61" s="467">
        <v>5000</v>
      </c>
      <c r="J61" s="468">
        <f>SUM(G61:I61)</f>
        <v>15040</v>
      </c>
      <c r="K61" s="469"/>
      <c r="L61" s="470">
        <f t="shared" ref="L61:L169" si="12">IF(K61&lt;0,F61,J61)</f>
        <v>15040</v>
      </c>
      <c r="M61" s="469" t="s">
        <v>563</v>
      </c>
      <c r="N61" s="469">
        <v>3.6058989272000002</v>
      </c>
      <c r="O61" s="471">
        <f t="shared" ref="O61:O169" si="13">ROUND(N61*L61,0)</f>
        <v>54233</v>
      </c>
      <c r="P61" s="461"/>
      <c r="Q61" s="37">
        <v>978.18363157894737</v>
      </c>
      <c r="R61" s="469">
        <v>0.2036</v>
      </c>
      <c r="S61" s="471">
        <f t="shared" ref="S61:S169" si="14">Q61*R61*38</f>
        <v>7568.0111207999998</v>
      </c>
      <c r="T61" s="461"/>
      <c r="U61" s="37">
        <v>3.936578947368421</v>
      </c>
      <c r="V61" s="469">
        <v>1.7611399999999999</v>
      </c>
      <c r="W61" s="472">
        <f t="shared" ref="W61:W169" si="15">U61*V61*38</f>
        <v>263.44893259999998</v>
      </c>
      <c r="X61" s="457"/>
      <c r="Y61" s="473"/>
      <c r="Z61" s="463"/>
      <c r="AA61" s="473"/>
      <c r="AB61" s="463"/>
      <c r="AC61" s="473"/>
      <c r="AD61" s="457"/>
      <c r="AE61" s="474"/>
      <c r="AF61" s="475"/>
      <c r="AG61" s="476">
        <f t="shared" ref="AG61:AG169" si="16">AF61*AE61</f>
        <v>0</v>
      </c>
      <c r="AH61" s="457"/>
      <c r="AI61" s="37">
        <v>130.91936842105264</v>
      </c>
      <c r="AJ61" s="469">
        <v>0.2036</v>
      </c>
      <c r="AK61" s="471">
        <f t="shared" ref="AK61:AK169" si="17">AJ61*AI61*38</f>
        <v>1012.8969696</v>
      </c>
      <c r="AL61" s="457"/>
      <c r="AM61" s="477">
        <f t="shared" ref="AM61:AM169" si="18">SUM(AK61,AG61,W61,S61,O61,Y61,AA61,AC61)</f>
        <v>63077.357023000004</v>
      </c>
      <c r="AN61" s="464"/>
      <c r="AO61" s="402"/>
      <c r="AP61" s="402"/>
      <c r="AQ61" s="402">
        <f>AP61+AO61+AM61</f>
        <v>63077.357023000004</v>
      </c>
      <c r="AR61" s="478"/>
      <c r="AV61" s="29"/>
      <c r="AW61" s="29"/>
    </row>
    <row r="62" spans="1:49" customFormat="1" ht="15" x14ac:dyDescent="0.25">
      <c r="A62" s="479" t="s">
        <v>564</v>
      </c>
      <c r="B62" s="480"/>
      <c r="C62" s="481" t="s">
        <v>565</v>
      </c>
      <c r="D62" s="457"/>
      <c r="E62" s="482"/>
      <c r="F62" s="483"/>
      <c r="G62" s="467">
        <v>6660</v>
      </c>
      <c r="H62" s="467">
        <v>3570</v>
      </c>
      <c r="I62" s="467">
        <v>4500</v>
      </c>
      <c r="J62" s="468">
        <f t="shared" ref="J62:J125" si="19">SUM(G62:I62)</f>
        <v>14730</v>
      </c>
      <c r="K62" s="484"/>
      <c r="L62" s="485">
        <f t="shared" si="12"/>
        <v>14730</v>
      </c>
      <c r="M62" s="484" t="s">
        <v>563</v>
      </c>
      <c r="N62" s="469">
        <v>3.6058989272000002</v>
      </c>
      <c r="O62" s="486">
        <f t="shared" si="13"/>
        <v>53115</v>
      </c>
      <c r="P62" s="461"/>
      <c r="Q62" s="37">
        <v>1118.5507894736843</v>
      </c>
      <c r="R62" s="469">
        <v>0.2036</v>
      </c>
      <c r="S62" s="486">
        <f t="shared" si="14"/>
        <v>8654.003748000001</v>
      </c>
      <c r="T62" s="461"/>
      <c r="U62" s="37">
        <v>0</v>
      </c>
      <c r="V62" s="469">
        <v>1.7611399999999999</v>
      </c>
      <c r="W62" s="487">
        <f t="shared" si="15"/>
        <v>0</v>
      </c>
      <c r="X62" s="457"/>
      <c r="Y62" s="488"/>
      <c r="Z62" s="463"/>
      <c r="AA62" s="488"/>
      <c r="AB62" s="463"/>
      <c r="AC62" s="488"/>
      <c r="AD62" s="457"/>
      <c r="AE62" s="489"/>
      <c r="AF62" s="490"/>
      <c r="AG62" s="476">
        <f t="shared" si="16"/>
        <v>0</v>
      </c>
      <c r="AH62" s="457"/>
      <c r="AI62" s="37">
        <v>311.27092105263159</v>
      </c>
      <c r="AJ62" s="469">
        <v>0.2036</v>
      </c>
      <c r="AK62" s="486">
        <f t="shared" si="17"/>
        <v>2408.2408620000001</v>
      </c>
      <c r="AL62" s="457"/>
      <c r="AM62" s="477">
        <f t="shared" si="18"/>
        <v>64177.244610000002</v>
      </c>
      <c r="AN62" s="464"/>
      <c r="AO62" s="402"/>
      <c r="AP62" s="402"/>
      <c r="AQ62" s="402">
        <f t="shared" ref="AQ62:AQ125" si="20">AP62+AO62+AM62</f>
        <v>64177.244610000002</v>
      </c>
      <c r="AR62" s="478"/>
      <c r="AV62" s="29"/>
      <c r="AW62" s="29"/>
    </row>
    <row r="63" spans="1:49" customFormat="1" ht="15" x14ac:dyDescent="0.25">
      <c r="A63" s="205" t="s">
        <v>566</v>
      </c>
      <c r="B63" s="196" t="s">
        <v>567</v>
      </c>
      <c r="C63" s="196" t="s">
        <v>568</v>
      </c>
      <c r="D63" s="457"/>
      <c r="E63" s="482"/>
      <c r="F63" s="483"/>
      <c r="G63" s="467">
        <v>4140</v>
      </c>
      <c r="H63" s="467">
        <v>3780</v>
      </c>
      <c r="I63" s="467">
        <v>3600</v>
      </c>
      <c r="J63" s="468">
        <f t="shared" si="19"/>
        <v>11520</v>
      </c>
      <c r="K63" s="484"/>
      <c r="L63" s="485">
        <f t="shared" si="12"/>
        <v>11520</v>
      </c>
      <c r="M63" s="484" t="s">
        <v>563</v>
      </c>
      <c r="N63" s="469">
        <v>3.6058989272000002</v>
      </c>
      <c r="O63" s="486">
        <f t="shared" si="13"/>
        <v>41540</v>
      </c>
      <c r="P63" s="461"/>
      <c r="Q63" s="37">
        <v>258.97065789473686</v>
      </c>
      <c r="R63" s="469">
        <v>0.2036</v>
      </c>
      <c r="S63" s="486">
        <f t="shared" si="14"/>
        <v>2003.6041860000003</v>
      </c>
      <c r="T63" s="461"/>
      <c r="U63" s="37">
        <v>21.088815789473685</v>
      </c>
      <c r="V63" s="469">
        <v>1.7611399999999999</v>
      </c>
      <c r="W63" s="487">
        <f t="shared" si="15"/>
        <v>1411.3335675000001</v>
      </c>
      <c r="X63" s="457"/>
      <c r="Y63" s="488"/>
      <c r="Z63" s="463"/>
      <c r="AA63" s="488"/>
      <c r="AB63" s="463"/>
      <c r="AC63" s="488"/>
      <c r="AD63" s="457"/>
      <c r="AE63" s="489"/>
      <c r="AF63" s="490"/>
      <c r="AG63" s="476">
        <f t="shared" si="16"/>
        <v>0</v>
      </c>
      <c r="AH63" s="457"/>
      <c r="AI63" s="37">
        <v>20.245263157894737</v>
      </c>
      <c r="AJ63" s="469">
        <v>0.2036</v>
      </c>
      <c r="AK63" s="486">
        <f t="shared" si="17"/>
        <v>156.63355200000001</v>
      </c>
      <c r="AL63" s="457"/>
      <c r="AM63" s="477">
        <f t="shared" si="18"/>
        <v>45111.571305500001</v>
      </c>
      <c r="AN63" s="464"/>
      <c r="AO63" s="402"/>
      <c r="AP63" s="402"/>
      <c r="AQ63" s="402">
        <f t="shared" si="20"/>
        <v>45111.571305500001</v>
      </c>
      <c r="AR63" s="478"/>
      <c r="AV63" s="29"/>
      <c r="AW63" s="29"/>
    </row>
    <row r="64" spans="1:49" customFormat="1" ht="15" x14ac:dyDescent="0.25">
      <c r="A64" s="491" t="s">
        <v>569</v>
      </c>
      <c r="B64" s="492"/>
      <c r="C64" s="492" t="s">
        <v>570</v>
      </c>
      <c r="D64" s="457"/>
      <c r="E64" s="482"/>
      <c r="F64" s="483"/>
      <c r="G64" s="467">
        <v>1260</v>
      </c>
      <c r="H64" s="467">
        <v>2520</v>
      </c>
      <c r="I64" s="467">
        <v>2160</v>
      </c>
      <c r="J64" s="468">
        <f t="shared" si="19"/>
        <v>5940</v>
      </c>
      <c r="K64" s="484"/>
      <c r="L64" s="485">
        <f t="shared" si="12"/>
        <v>5940</v>
      </c>
      <c r="M64" s="484" t="s">
        <v>563</v>
      </c>
      <c r="N64" s="469">
        <v>3.6058989272000002</v>
      </c>
      <c r="O64" s="486">
        <f t="shared" si="13"/>
        <v>21419</v>
      </c>
      <c r="P64" s="461"/>
      <c r="Q64" s="37">
        <v>81.037289473684154</v>
      </c>
      <c r="R64" s="469">
        <v>0.2036</v>
      </c>
      <c r="S64" s="486">
        <f t="shared" si="14"/>
        <v>626.96930119999956</v>
      </c>
      <c r="T64" s="461"/>
      <c r="U64" s="37">
        <v>5.3987368421052633</v>
      </c>
      <c r="V64" s="469">
        <v>1.7611399999999999</v>
      </c>
      <c r="W64" s="487">
        <f t="shared" si="15"/>
        <v>361.30139327999996</v>
      </c>
      <c r="X64" s="457"/>
      <c r="Y64" s="488"/>
      <c r="Z64" s="463"/>
      <c r="AA64" s="488"/>
      <c r="AB64" s="463"/>
      <c r="AC64" s="488"/>
      <c r="AD64" s="457"/>
      <c r="AE64" s="489"/>
      <c r="AF64" s="490"/>
      <c r="AG64" s="476">
        <f t="shared" si="16"/>
        <v>0</v>
      </c>
      <c r="AH64" s="457"/>
      <c r="AI64" s="37">
        <v>0</v>
      </c>
      <c r="AJ64" s="469">
        <v>0.2036</v>
      </c>
      <c r="AK64" s="486">
        <f t="shared" si="17"/>
        <v>0</v>
      </c>
      <c r="AL64" s="457"/>
      <c r="AM64" s="477">
        <f t="shared" si="18"/>
        <v>22407.270694480001</v>
      </c>
      <c r="AN64" s="464"/>
      <c r="AO64" s="402"/>
      <c r="AP64" s="402"/>
      <c r="AQ64" s="402">
        <f t="shared" si="20"/>
        <v>22407.270694480001</v>
      </c>
      <c r="AR64" s="478"/>
      <c r="AV64" s="29"/>
      <c r="AW64" s="29"/>
    </row>
    <row r="65" spans="1:49" customFormat="1" ht="15" x14ac:dyDescent="0.25">
      <c r="A65" s="493" t="s">
        <v>571</v>
      </c>
      <c r="B65" s="196"/>
      <c r="C65" s="494" t="s">
        <v>572</v>
      </c>
      <c r="D65" s="457"/>
      <c r="E65" s="482"/>
      <c r="F65" s="483"/>
      <c r="G65" s="467">
        <v>2520</v>
      </c>
      <c r="H65" s="467">
        <v>3570</v>
      </c>
      <c r="I65" s="467">
        <v>3420</v>
      </c>
      <c r="J65" s="468">
        <f t="shared" si="19"/>
        <v>9510</v>
      </c>
      <c r="K65" s="484"/>
      <c r="L65" s="485">
        <f t="shared" si="12"/>
        <v>9510</v>
      </c>
      <c r="M65" s="484" t="s">
        <v>563</v>
      </c>
      <c r="N65" s="469">
        <v>3.6058989272000002</v>
      </c>
      <c r="O65" s="486">
        <f t="shared" si="13"/>
        <v>34292</v>
      </c>
      <c r="P65" s="461"/>
      <c r="Q65" s="37">
        <v>76.76328947368421</v>
      </c>
      <c r="R65" s="469">
        <v>0.2036</v>
      </c>
      <c r="S65" s="486">
        <f t="shared" si="14"/>
        <v>593.90221799999995</v>
      </c>
      <c r="T65" s="461"/>
      <c r="U65" s="37">
        <v>5.0613157894736842</v>
      </c>
      <c r="V65" s="469">
        <v>1.7611399999999999</v>
      </c>
      <c r="W65" s="487">
        <f t="shared" si="15"/>
        <v>338.72005619999999</v>
      </c>
      <c r="X65" s="457"/>
      <c r="Y65" s="488"/>
      <c r="Z65" s="463"/>
      <c r="AA65" s="488"/>
      <c r="AB65" s="463"/>
      <c r="AC65" s="488"/>
      <c r="AD65" s="457"/>
      <c r="AE65" s="489"/>
      <c r="AF65" s="490"/>
      <c r="AG65" s="476">
        <f t="shared" si="16"/>
        <v>0</v>
      </c>
      <c r="AH65" s="457"/>
      <c r="AI65" s="37">
        <v>0</v>
      </c>
      <c r="AJ65" s="469">
        <v>0.2036</v>
      </c>
      <c r="AK65" s="486">
        <f t="shared" si="17"/>
        <v>0</v>
      </c>
      <c r="AL65" s="457"/>
      <c r="AM65" s="477">
        <f t="shared" si="18"/>
        <v>35224.622274200003</v>
      </c>
      <c r="AN65" s="464"/>
      <c r="AO65" s="402"/>
      <c r="AP65" s="402"/>
      <c r="AQ65" s="402">
        <f t="shared" si="20"/>
        <v>35224.622274200003</v>
      </c>
      <c r="AR65" s="478"/>
      <c r="AV65" s="29"/>
      <c r="AW65" s="29"/>
    </row>
    <row r="66" spans="1:49" customFormat="1" ht="15" x14ac:dyDescent="0.25">
      <c r="A66" s="493" t="s">
        <v>573</v>
      </c>
      <c r="B66" s="196"/>
      <c r="C66" s="495" t="s">
        <v>574</v>
      </c>
      <c r="D66" s="457"/>
      <c r="E66" s="482"/>
      <c r="F66" s="483"/>
      <c r="G66" s="467">
        <v>1260</v>
      </c>
      <c r="H66" s="467">
        <v>840</v>
      </c>
      <c r="I66" s="467">
        <v>900</v>
      </c>
      <c r="J66" s="468">
        <f t="shared" si="19"/>
        <v>3000</v>
      </c>
      <c r="K66" s="484"/>
      <c r="L66" s="485">
        <f t="shared" si="12"/>
        <v>3000</v>
      </c>
      <c r="M66" s="484" t="s">
        <v>563</v>
      </c>
      <c r="N66" s="469">
        <v>3.6058989272000002</v>
      </c>
      <c r="O66" s="486">
        <f t="shared" si="13"/>
        <v>10818</v>
      </c>
      <c r="P66" s="461"/>
      <c r="Q66" s="37">
        <v>0</v>
      </c>
      <c r="R66" s="469">
        <v>0.2036</v>
      </c>
      <c r="S66" s="486">
        <f t="shared" si="14"/>
        <v>0</v>
      </c>
      <c r="T66" s="461"/>
      <c r="U66" s="37">
        <v>5.0613157894736842</v>
      </c>
      <c r="V66" s="469">
        <v>1.7611399999999999</v>
      </c>
      <c r="W66" s="487">
        <f t="shared" si="15"/>
        <v>338.72005619999999</v>
      </c>
      <c r="X66" s="457"/>
      <c r="Y66" s="488"/>
      <c r="Z66" s="463"/>
      <c r="AA66" s="488"/>
      <c r="AB66" s="463"/>
      <c r="AC66" s="488"/>
      <c r="AD66" s="457"/>
      <c r="AE66" s="489"/>
      <c r="AF66" s="490"/>
      <c r="AG66" s="476">
        <f t="shared" si="16"/>
        <v>0</v>
      </c>
      <c r="AH66" s="457"/>
      <c r="AI66" s="37">
        <v>0</v>
      </c>
      <c r="AJ66" s="469">
        <v>0.2036</v>
      </c>
      <c r="AK66" s="486">
        <f t="shared" si="17"/>
        <v>0</v>
      </c>
      <c r="AL66" s="457"/>
      <c r="AM66" s="477">
        <f t="shared" si="18"/>
        <v>11156.7200562</v>
      </c>
      <c r="AN66" s="464"/>
      <c r="AO66" s="402"/>
      <c r="AP66" s="402"/>
      <c r="AQ66" s="402">
        <f t="shared" si="20"/>
        <v>11156.7200562</v>
      </c>
      <c r="AR66" s="478"/>
      <c r="AV66" s="29"/>
      <c r="AW66" s="29"/>
    </row>
    <row r="67" spans="1:49" customFormat="1" ht="15" x14ac:dyDescent="0.25">
      <c r="A67" s="496" t="s">
        <v>575</v>
      </c>
      <c r="B67" s="497"/>
      <c r="C67" s="497" t="s">
        <v>576</v>
      </c>
      <c r="D67" s="457"/>
      <c r="E67" s="482"/>
      <c r="F67" s="483"/>
      <c r="G67" s="467">
        <v>6000</v>
      </c>
      <c r="H67" s="467">
        <v>4200</v>
      </c>
      <c r="I67" s="467">
        <v>6000</v>
      </c>
      <c r="J67" s="468">
        <f t="shared" si="19"/>
        <v>16200</v>
      </c>
      <c r="K67" s="484"/>
      <c r="L67" s="485">
        <f t="shared" si="12"/>
        <v>16200</v>
      </c>
      <c r="M67" s="484" t="s">
        <v>563</v>
      </c>
      <c r="N67" s="469">
        <v>3.6058989272000002</v>
      </c>
      <c r="O67" s="486">
        <f t="shared" si="13"/>
        <v>58416</v>
      </c>
      <c r="P67" s="461"/>
      <c r="Q67" s="37">
        <v>329.49165789473682</v>
      </c>
      <c r="R67" s="469">
        <v>0.2036</v>
      </c>
      <c r="S67" s="486">
        <f t="shared" si="14"/>
        <v>2549.2110588</v>
      </c>
      <c r="T67" s="461"/>
      <c r="U67" s="37">
        <v>5.9048684210526314</v>
      </c>
      <c r="V67" s="469">
        <v>1.7611399999999999</v>
      </c>
      <c r="W67" s="487">
        <f t="shared" si="15"/>
        <v>395.1733989</v>
      </c>
      <c r="X67" s="457"/>
      <c r="Y67" s="488"/>
      <c r="Z67" s="463"/>
      <c r="AA67" s="488"/>
      <c r="AB67" s="463"/>
      <c r="AC67" s="488"/>
      <c r="AD67" s="457"/>
      <c r="AE67" s="489"/>
      <c r="AF67" s="490"/>
      <c r="AG67" s="476">
        <f t="shared" si="16"/>
        <v>0</v>
      </c>
      <c r="AH67" s="457"/>
      <c r="AI67" s="37">
        <v>12.484578947368421</v>
      </c>
      <c r="AJ67" s="469">
        <v>0.2036</v>
      </c>
      <c r="AK67" s="486">
        <f t="shared" si="17"/>
        <v>96.5906904</v>
      </c>
      <c r="AL67" s="457"/>
      <c r="AM67" s="477">
        <f t="shared" si="18"/>
        <v>61456.975148099998</v>
      </c>
      <c r="AN67" s="464"/>
      <c r="AO67" s="402"/>
      <c r="AP67" s="402"/>
      <c r="AQ67" s="402">
        <f t="shared" si="20"/>
        <v>61456.975148099998</v>
      </c>
      <c r="AR67" s="478"/>
      <c r="AV67" s="29"/>
      <c r="AW67" s="29"/>
    </row>
    <row r="68" spans="1:49" customFormat="1" ht="15" x14ac:dyDescent="0.25">
      <c r="A68" s="205" t="s">
        <v>577</v>
      </c>
      <c r="B68" s="196" t="s">
        <v>578</v>
      </c>
      <c r="C68" s="196">
        <v>206124</v>
      </c>
      <c r="D68" s="457"/>
      <c r="E68" s="482"/>
      <c r="F68" s="483"/>
      <c r="G68" s="467">
        <v>2460</v>
      </c>
      <c r="H68" s="467">
        <v>2100</v>
      </c>
      <c r="I68" s="467">
        <v>1980</v>
      </c>
      <c r="J68" s="468">
        <f t="shared" si="19"/>
        <v>6540</v>
      </c>
      <c r="K68" s="484"/>
      <c r="L68" s="485">
        <f t="shared" si="12"/>
        <v>6540</v>
      </c>
      <c r="M68" s="484" t="s">
        <v>579</v>
      </c>
      <c r="N68" s="469">
        <v>3.6058989272000002</v>
      </c>
      <c r="O68" s="486">
        <f t="shared" si="13"/>
        <v>23583</v>
      </c>
      <c r="P68" s="461"/>
      <c r="Q68" s="37">
        <v>391.91455263157894</v>
      </c>
      <c r="R68" s="469">
        <v>0.2036</v>
      </c>
      <c r="S68" s="486">
        <f t="shared" si="14"/>
        <v>3032.1645107999998</v>
      </c>
      <c r="T68" s="461"/>
      <c r="U68" s="37">
        <v>5.0613157894736842</v>
      </c>
      <c r="V68" s="469">
        <v>1.7611399999999999</v>
      </c>
      <c r="W68" s="487">
        <f t="shared" si="15"/>
        <v>338.72005619999999</v>
      </c>
      <c r="X68" s="457"/>
      <c r="Y68" s="488"/>
      <c r="Z68" s="463"/>
      <c r="AA68" s="488"/>
      <c r="AB68" s="463"/>
      <c r="AC68" s="488"/>
      <c r="AD68" s="457"/>
      <c r="AE68" s="489"/>
      <c r="AF68" s="490"/>
      <c r="AG68" s="476">
        <f t="shared" si="16"/>
        <v>0</v>
      </c>
      <c r="AH68" s="457"/>
      <c r="AI68" s="37">
        <v>11.809736842105263</v>
      </c>
      <c r="AJ68" s="469">
        <v>0.2036</v>
      </c>
      <c r="AK68" s="486">
        <f t="shared" si="17"/>
        <v>91.369572000000005</v>
      </c>
      <c r="AL68" s="457"/>
      <c r="AM68" s="477">
        <f t="shared" si="18"/>
        <v>27045.254139000001</v>
      </c>
      <c r="AN68" s="464"/>
      <c r="AO68" s="402"/>
      <c r="AP68" s="402"/>
      <c r="AQ68" s="402">
        <f t="shared" si="20"/>
        <v>27045.254139000001</v>
      </c>
      <c r="AR68" s="478"/>
      <c r="AV68" s="29"/>
      <c r="AW68" s="29"/>
    </row>
    <row r="69" spans="1:49" customFormat="1" ht="15" x14ac:dyDescent="0.25">
      <c r="A69" s="205" t="s">
        <v>580</v>
      </c>
      <c r="B69" s="196" t="s">
        <v>581</v>
      </c>
      <c r="C69" s="196" t="s">
        <v>582</v>
      </c>
      <c r="D69" s="457"/>
      <c r="E69" s="482"/>
      <c r="F69" s="483"/>
      <c r="G69" s="467">
        <v>3000</v>
      </c>
      <c r="H69" s="467">
        <v>2500</v>
      </c>
      <c r="I69" s="467">
        <v>2900</v>
      </c>
      <c r="J69" s="468">
        <f t="shared" si="19"/>
        <v>8400</v>
      </c>
      <c r="K69" s="484"/>
      <c r="L69" s="485">
        <f t="shared" si="12"/>
        <v>8400</v>
      </c>
      <c r="M69" s="484" t="s">
        <v>579</v>
      </c>
      <c r="N69" s="469">
        <v>3.6058989272000002</v>
      </c>
      <c r="O69" s="486">
        <f t="shared" si="13"/>
        <v>30290</v>
      </c>
      <c r="P69" s="461"/>
      <c r="Q69" s="37">
        <v>40.490526315789474</v>
      </c>
      <c r="R69" s="469">
        <v>0.2036</v>
      </c>
      <c r="S69" s="486">
        <f t="shared" si="14"/>
        <v>313.26710400000002</v>
      </c>
      <c r="T69" s="461"/>
      <c r="U69" s="37">
        <v>0</v>
      </c>
      <c r="V69" s="469">
        <v>1.7611399999999999</v>
      </c>
      <c r="W69" s="487">
        <f t="shared" si="15"/>
        <v>0</v>
      </c>
      <c r="X69" s="457"/>
      <c r="Y69" s="488"/>
      <c r="Z69" s="463"/>
      <c r="AA69" s="488"/>
      <c r="AB69" s="463"/>
      <c r="AC69" s="488"/>
      <c r="AD69" s="457"/>
      <c r="AE69" s="489"/>
      <c r="AF69" s="490"/>
      <c r="AG69" s="476">
        <f t="shared" si="16"/>
        <v>0</v>
      </c>
      <c r="AH69" s="457"/>
      <c r="AI69" s="37">
        <v>15.183947368421054</v>
      </c>
      <c r="AJ69" s="469">
        <v>0.2036</v>
      </c>
      <c r="AK69" s="486">
        <f t="shared" si="17"/>
        <v>117.47516400000001</v>
      </c>
      <c r="AL69" s="457"/>
      <c r="AM69" s="477">
        <f t="shared" si="18"/>
        <v>30720.742268000002</v>
      </c>
      <c r="AN69" s="464"/>
      <c r="AO69" s="402"/>
      <c r="AP69" s="402"/>
      <c r="AQ69" s="402">
        <f t="shared" si="20"/>
        <v>30720.742268000002</v>
      </c>
      <c r="AR69" s="478"/>
      <c r="AV69" s="29"/>
      <c r="AW69" s="29"/>
    </row>
    <row r="70" spans="1:49" customFormat="1" ht="15" x14ac:dyDescent="0.25">
      <c r="A70" s="196" t="s">
        <v>583</v>
      </c>
      <c r="B70" s="196" t="s">
        <v>584</v>
      </c>
      <c r="C70" s="196">
        <v>206126</v>
      </c>
      <c r="D70" s="457"/>
      <c r="E70" s="482"/>
      <c r="F70" s="483"/>
      <c r="G70" s="467">
        <v>6048</v>
      </c>
      <c r="H70" s="467">
        <v>4452</v>
      </c>
      <c r="I70" s="467">
        <v>4572</v>
      </c>
      <c r="J70" s="468">
        <f t="shared" si="19"/>
        <v>15072</v>
      </c>
      <c r="K70" s="484"/>
      <c r="L70" s="485">
        <f t="shared" si="12"/>
        <v>15072</v>
      </c>
      <c r="M70" s="484" t="s">
        <v>579</v>
      </c>
      <c r="N70" s="469">
        <v>3.6058989272000002</v>
      </c>
      <c r="O70" s="486">
        <f t="shared" si="13"/>
        <v>54348</v>
      </c>
      <c r="P70" s="461"/>
      <c r="Q70" s="37">
        <v>62.422894736842103</v>
      </c>
      <c r="R70" s="469">
        <v>0.2036</v>
      </c>
      <c r="S70" s="486">
        <f t="shared" si="14"/>
        <v>482.95345199999997</v>
      </c>
      <c r="T70" s="461"/>
      <c r="U70" s="37">
        <v>5.0613157894736842</v>
      </c>
      <c r="V70" s="469">
        <v>1.7611399999999999</v>
      </c>
      <c r="W70" s="487">
        <f t="shared" si="15"/>
        <v>338.72005619999999</v>
      </c>
      <c r="X70" s="457"/>
      <c r="Y70" s="488"/>
      <c r="Z70" s="463"/>
      <c r="AA70" s="488"/>
      <c r="AB70" s="463"/>
      <c r="AC70" s="488"/>
      <c r="AD70" s="457"/>
      <c r="AE70" s="489"/>
      <c r="AF70" s="490"/>
      <c r="AG70" s="476">
        <f t="shared" si="16"/>
        <v>0</v>
      </c>
      <c r="AH70" s="457"/>
      <c r="AI70" s="37">
        <v>0</v>
      </c>
      <c r="AJ70" s="469">
        <v>0.2036</v>
      </c>
      <c r="AK70" s="486">
        <f t="shared" si="17"/>
        <v>0</v>
      </c>
      <c r="AL70" s="457"/>
      <c r="AM70" s="477">
        <f t="shared" si="18"/>
        <v>55169.673508200001</v>
      </c>
      <c r="AN70" s="464"/>
      <c r="AO70" s="402"/>
      <c r="AP70" s="402"/>
      <c r="AQ70" s="402">
        <f t="shared" si="20"/>
        <v>55169.673508200001</v>
      </c>
      <c r="AR70" s="478"/>
      <c r="AV70" s="29"/>
      <c r="AW70" s="29"/>
    </row>
    <row r="71" spans="1:49" customFormat="1" ht="15" x14ac:dyDescent="0.25">
      <c r="A71" s="196" t="s">
        <v>585</v>
      </c>
      <c r="B71" s="196" t="s">
        <v>586</v>
      </c>
      <c r="C71" s="196">
        <v>206111</v>
      </c>
      <c r="D71" s="457"/>
      <c r="E71" s="482"/>
      <c r="F71" s="483"/>
      <c r="G71" s="467">
        <v>9360</v>
      </c>
      <c r="H71" s="467">
        <v>7980</v>
      </c>
      <c r="I71" s="467">
        <v>8640</v>
      </c>
      <c r="J71" s="468">
        <f t="shared" si="19"/>
        <v>25980</v>
      </c>
      <c r="K71" s="484"/>
      <c r="L71" s="485">
        <f t="shared" si="12"/>
        <v>25980</v>
      </c>
      <c r="M71" s="484" t="s">
        <v>563</v>
      </c>
      <c r="N71" s="469">
        <v>3.6058989272000002</v>
      </c>
      <c r="O71" s="486">
        <f t="shared" si="13"/>
        <v>93681</v>
      </c>
      <c r="P71" s="461"/>
      <c r="Q71" s="37">
        <v>98.526947368421062</v>
      </c>
      <c r="R71" s="469">
        <v>0.2036</v>
      </c>
      <c r="S71" s="486">
        <f t="shared" si="14"/>
        <v>762.28328640000018</v>
      </c>
      <c r="T71" s="461"/>
      <c r="U71" s="37">
        <v>0</v>
      </c>
      <c r="V71" s="469">
        <v>1.7611399999999999</v>
      </c>
      <c r="W71" s="487">
        <f t="shared" si="15"/>
        <v>0</v>
      </c>
      <c r="X71" s="457"/>
      <c r="Y71" s="488"/>
      <c r="Z71" s="463"/>
      <c r="AA71" s="488"/>
      <c r="AB71" s="463"/>
      <c r="AC71" s="488"/>
      <c r="AD71" s="457"/>
      <c r="AE71" s="489"/>
      <c r="AF71" s="490"/>
      <c r="AG71" s="476">
        <f t="shared" si="16"/>
        <v>0</v>
      </c>
      <c r="AH71" s="457"/>
      <c r="AI71" s="37">
        <v>26.150131578947367</v>
      </c>
      <c r="AJ71" s="469">
        <v>0.2036</v>
      </c>
      <c r="AK71" s="486">
        <f t="shared" si="17"/>
        <v>202.31833799999998</v>
      </c>
      <c r="AL71" s="457"/>
      <c r="AM71" s="477">
        <f t="shared" si="18"/>
        <v>94645.601624400006</v>
      </c>
      <c r="AN71" s="464"/>
      <c r="AO71" s="402"/>
      <c r="AP71" s="402"/>
      <c r="AQ71" s="402">
        <f t="shared" si="20"/>
        <v>94645.601624400006</v>
      </c>
      <c r="AR71" s="478"/>
      <c r="AV71" s="29"/>
      <c r="AW71" s="29"/>
    </row>
    <row r="72" spans="1:49" customFormat="1" ht="15" x14ac:dyDescent="0.25">
      <c r="A72" s="205" t="s">
        <v>587</v>
      </c>
      <c r="B72" s="196" t="s">
        <v>588</v>
      </c>
      <c r="C72" s="196">
        <v>206091</v>
      </c>
      <c r="D72" s="457"/>
      <c r="E72" s="482"/>
      <c r="F72" s="483"/>
      <c r="G72" s="467">
        <v>5040</v>
      </c>
      <c r="H72" s="467">
        <v>2660</v>
      </c>
      <c r="I72" s="467">
        <v>3600</v>
      </c>
      <c r="J72" s="468">
        <f t="shared" si="19"/>
        <v>11300</v>
      </c>
      <c r="K72" s="484"/>
      <c r="L72" s="485">
        <f t="shared" si="12"/>
        <v>11300</v>
      </c>
      <c r="M72" s="484" t="s">
        <v>563</v>
      </c>
      <c r="N72" s="469">
        <v>3.6058989272000002</v>
      </c>
      <c r="O72" s="486">
        <f t="shared" si="13"/>
        <v>40747</v>
      </c>
      <c r="P72" s="461"/>
      <c r="Q72" s="37">
        <v>70.85842105263157</v>
      </c>
      <c r="R72" s="469">
        <v>0.2036</v>
      </c>
      <c r="S72" s="486">
        <f t="shared" si="14"/>
        <v>548.21743199999992</v>
      </c>
      <c r="T72" s="461"/>
      <c r="U72" s="37">
        <v>5.0613157894736842</v>
      </c>
      <c r="V72" s="469">
        <v>1.7611399999999999</v>
      </c>
      <c r="W72" s="487">
        <f t="shared" si="15"/>
        <v>338.72005619999999</v>
      </c>
      <c r="X72" s="457"/>
      <c r="Y72" s="488"/>
      <c r="Z72" s="463"/>
      <c r="AA72" s="488"/>
      <c r="AB72" s="463"/>
      <c r="AC72" s="488"/>
      <c r="AD72" s="457"/>
      <c r="AE72" s="489"/>
      <c r="AF72" s="490"/>
      <c r="AG72" s="476">
        <f t="shared" si="16"/>
        <v>0</v>
      </c>
      <c r="AH72" s="457"/>
      <c r="AI72" s="37">
        <v>15.183947368421054</v>
      </c>
      <c r="AJ72" s="469">
        <v>0.2036</v>
      </c>
      <c r="AK72" s="486">
        <f t="shared" si="17"/>
        <v>117.47516400000001</v>
      </c>
      <c r="AL72" s="457"/>
      <c r="AM72" s="477">
        <f t="shared" si="18"/>
        <v>41751.412652200001</v>
      </c>
      <c r="AN72" s="464"/>
      <c r="AO72" s="402"/>
      <c r="AP72" s="402"/>
      <c r="AQ72" s="402">
        <f t="shared" si="20"/>
        <v>41751.412652200001</v>
      </c>
      <c r="AR72" s="478"/>
      <c r="AV72" s="29"/>
      <c r="AW72" s="29"/>
    </row>
    <row r="73" spans="1:49" customFormat="1" ht="15" x14ac:dyDescent="0.25">
      <c r="A73" s="498" t="s">
        <v>589</v>
      </c>
      <c r="B73" s="198"/>
      <c r="C73" s="256" t="s">
        <v>590</v>
      </c>
      <c r="D73" s="457"/>
      <c r="E73" s="482"/>
      <c r="F73" s="483"/>
      <c r="G73" s="467">
        <v>2880</v>
      </c>
      <c r="H73" s="467">
        <v>3360</v>
      </c>
      <c r="I73" s="467">
        <v>2880</v>
      </c>
      <c r="J73" s="468">
        <f t="shared" si="19"/>
        <v>9120</v>
      </c>
      <c r="K73" s="484"/>
      <c r="L73" s="485">
        <f t="shared" si="12"/>
        <v>9120</v>
      </c>
      <c r="M73" s="484" t="s">
        <v>563</v>
      </c>
      <c r="N73" s="469">
        <v>3.6058989272000002</v>
      </c>
      <c r="O73" s="486">
        <f t="shared" si="13"/>
        <v>32886</v>
      </c>
      <c r="P73" s="461"/>
      <c r="Q73" s="37">
        <v>593.18621052631579</v>
      </c>
      <c r="R73" s="469">
        <v>0.2036</v>
      </c>
      <c r="S73" s="486">
        <f t="shared" si="14"/>
        <v>4589.3630736000005</v>
      </c>
      <c r="T73" s="461"/>
      <c r="U73" s="37">
        <v>12.147157894736843</v>
      </c>
      <c r="V73" s="469">
        <v>1.7611399999999999</v>
      </c>
      <c r="W73" s="487">
        <f t="shared" si="15"/>
        <v>812.92813488000002</v>
      </c>
      <c r="X73" s="457"/>
      <c r="Y73" s="488"/>
      <c r="Z73" s="463"/>
      <c r="AA73" s="488"/>
      <c r="AB73" s="463"/>
      <c r="AC73" s="488"/>
      <c r="AD73" s="457"/>
      <c r="AE73" s="489"/>
      <c r="AF73" s="490"/>
      <c r="AG73" s="476">
        <f t="shared" si="16"/>
        <v>0</v>
      </c>
      <c r="AH73" s="457"/>
      <c r="AI73" s="37">
        <v>202.45263157894738</v>
      </c>
      <c r="AJ73" s="469">
        <v>0.2036</v>
      </c>
      <c r="AK73" s="486">
        <f t="shared" si="17"/>
        <v>1566.3355200000001</v>
      </c>
      <c r="AL73" s="457"/>
      <c r="AM73" s="477">
        <f t="shared" si="18"/>
        <v>39854.626728479998</v>
      </c>
      <c r="AN73" s="464"/>
      <c r="AO73" s="402"/>
      <c r="AP73" s="402"/>
      <c r="AQ73" s="402">
        <f t="shared" si="20"/>
        <v>39854.626728479998</v>
      </c>
      <c r="AR73" s="478"/>
      <c r="AV73" s="29"/>
      <c r="AW73" s="29"/>
    </row>
    <row r="74" spans="1:49" customFormat="1" ht="15" x14ac:dyDescent="0.25">
      <c r="A74" s="205" t="s">
        <v>591</v>
      </c>
      <c r="B74" s="196" t="s">
        <v>592</v>
      </c>
      <c r="C74" s="196">
        <v>206128</v>
      </c>
      <c r="D74" s="457"/>
      <c r="E74" s="482"/>
      <c r="F74" s="483"/>
      <c r="G74" s="467">
        <v>2520</v>
      </c>
      <c r="H74" s="467">
        <v>2100</v>
      </c>
      <c r="I74" s="467">
        <v>2700</v>
      </c>
      <c r="J74" s="468">
        <f t="shared" si="19"/>
        <v>7320</v>
      </c>
      <c r="K74" s="484"/>
      <c r="L74" s="485">
        <f t="shared" si="12"/>
        <v>7320</v>
      </c>
      <c r="M74" s="484" t="s">
        <v>579</v>
      </c>
      <c r="N74" s="469">
        <v>3.6058989272000002</v>
      </c>
      <c r="O74" s="486">
        <f t="shared" si="13"/>
        <v>26395</v>
      </c>
      <c r="P74" s="461"/>
      <c r="Q74" s="37">
        <v>339.95171052631576</v>
      </c>
      <c r="R74" s="469">
        <v>0.2036</v>
      </c>
      <c r="S74" s="486">
        <f t="shared" si="14"/>
        <v>2630.1383939999996</v>
      </c>
      <c r="T74" s="461"/>
      <c r="U74" s="37">
        <v>10.966184210526317</v>
      </c>
      <c r="V74" s="469">
        <v>1.7611399999999999</v>
      </c>
      <c r="W74" s="487">
        <f t="shared" si="15"/>
        <v>733.89345509999998</v>
      </c>
      <c r="X74" s="457"/>
      <c r="Y74" s="488"/>
      <c r="Z74" s="463"/>
      <c r="AA74" s="488"/>
      <c r="AB74" s="463"/>
      <c r="AC74" s="488"/>
      <c r="AD74" s="457"/>
      <c r="AE74" s="489"/>
      <c r="AF74" s="490"/>
      <c r="AG74" s="476">
        <f t="shared" si="16"/>
        <v>0</v>
      </c>
      <c r="AH74" s="457"/>
      <c r="AI74" s="37">
        <v>30.367894736842107</v>
      </c>
      <c r="AJ74" s="469">
        <v>0.2036</v>
      </c>
      <c r="AK74" s="486">
        <f t="shared" si="17"/>
        <v>234.95032800000001</v>
      </c>
      <c r="AL74" s="457"/>
      <c r="AM74" s="477">
        <f t="shared" si="18"/>
        <v>29993.982177099999</v>
      </c>
      <c r="AN74" s="464"/>
      <c r="AO74" s="402"/>
      <c r="AP74" s="402"/>
      <c r="AQ74" s="402">
        <f t="shared" si="20"/>
        <v>29993.982177099999</v>
      </c>
      <c r="AR74" s="478"/>
      <c r="AV74" s="29"/>
      <c r="AW74" s="29"/>
    </row>
    <row r="75" spans="1:49" customFormat="1" ht="26.25" x14ac:dyDescent="0.25">
      <c r="A75" s="499" t="s">
        <v>593</v>
      </c>
      <c r="B75" s="500"/>
      <c r="C75" s="500" t="s">
        <v>594</v>
      </c>
      <c r="D75" s="457"/>
      <c r="E75" s="482"/>
      <c r="F75" s="483"/>
      <c r="G75" s="467">
        <v>1440</v>
      </c>
      <c r="H75" s="467">
        <v>2520</v>
      </c>
      <c r="I75" s="467">
        <v>2160</v>
      </c>
      <c r="J75" s="468">
        <f t="shared" si="19"/>
        <v>6120</v>
      </c>
      <c r="K75" s="484"/>
      <c r="L75" s="485">
        <f t="shared" si="12"/>
        <v>6120</v>
      </c>
      <c r="M75" s="501" t="s">
        <v>579</v>
      </c>
      <c r="N75" s="469">
        <v>3.6058989272000002</v>
      </c>
      <c r="O75" s="486">
        <f t="shared" si="13"/>
        <v>22068</v>
      </c>
      <c r="P75" s="461"/>
      <c r="Q75" s="37">
        <v>161.05263157894737</v>
      </c>
      <c r="R75" s="469">
        <v>0.2036</v>
      </c>
      <c r="S75" s="486">
        <f t="shared" si="14"/>
        <v>1246.0320000000002</v>
      </c>
      <c r="T75" s="461"/>
      <c r="U75" s="37">
        <v>10</v>
      </c>
      <c r="V75" s="469">
        <v>1.7611399999999999</v>
      </c>
      <c r="W75" s="487">
        <f t="shared" si="15"/>
        <v>669.23320000000001</v>
      </c>
      <c r="X75" s="457"/>
      <c r="Y75" s="488"/>
      <c r="Z75" s="463"/>
      <c r="AA75" s="488"/>
      <c r="AB75" s="463"/>
      <c r="AC75" s="488"/>
      <c r="AD75" s="457"/>
      <c r="AE75" s="489"/>
      <c r="AF75" s="490"/>
      <c r="AG75" s="476">
        <f t="shared" si="16"/>
        <v>0</v>
      </c>
      <c r="AH75" s="457"/>
      <c r="AI75" s="37">
        <v>161.05263157894737</v>
      </c>
      <c r="AJ75" s="469">
        <v>0.2036</v>
      </c>
      <c r="AK75" s="486">
        <f t="shared" si="17"/>
        <v>1246.0320000000002</v>
      </c>
      <c r="AL75" s="457"/>
      <c r="AM75" s="477">
        <f t="shared" si="18"/>
        <v>25229.297200000001</v>
      </c>
      <c r="AN75" s="464"/>
      <c r="AO75" s="402"/>
      <c r="AP75" s="402"/>
      <c r="AQ75" s="402">
        <f t="shared" si="20"/>
        <v>25229.297200000001</v>
      </c>
      <c r="AR75" s="478"/>
      <c r="AV75" s="29"/>
      <c r="AW75" s="29"/>
    </row>
    <row r="76" spans="1:49" customFormat="1" ht="15" x14ac:dyDescent="0.25">
      <c r="A76" s="499" t="s">
        <v>595</v>
      </c>
      <c r="B76" s="500"/>
      <c r="C76" s="500" t="s">
        <v>596</v>
      </c>
      <c r="D76" s="457"/>
      <c r="E76" s="482"/>
      <c r="F76" s="483"/>
      <c r="G76" s="467">
        <v>2160</v>
      </c>
      <c r="H76" s="467">
        <v>3360</v>
      </c>
      <c r="I76" s="467">
        <v>1800</v>
      </c>
      <c r="J76" s="468">
        <f t="shared" si="19"/>
        <v>7320</v>
      </c>
      <c r="K76" s="484"/>
      <c r="L76" s="485">
        <f t="shared" si="12"/>
        <v>7320</v>
      </c>
      <c r="M76" s="501" t="s">
        <v>563</v>
      </c>
      <c r="N76" s="469">
        <v>3.6058989272000002</v>
      </c>
      <c r="O76" s="486">
        <f t="shared" si="13"/>
        <v>26395</v>
      </c>
      <c r="P76" s="461"/>
      <c r="Q76" s="37">
        <v>161.05263157894737</v>
      </c>
      <c r="R76" s="469">
        <v>0.2036</v>
      </c>
      <c r="S76" s="486">
        <f t="shared" si="14"/>
        <v>1246.0320000000002</v>
      </c>
      <c r="T76" s="461"/>
      <c r="U76" s="37">
        <v>10</v>
      </c>
      <c r="V76" s="469">
        <v>1.7611399999999999</v>
      </c>
      <c r="W76" s="487">
        <f t="shared" si="15"/>
        <v>669.23320000000001</v>
      </c>
      <c r="X76" s="457"/>
      <c r="Y76" s="488"/>
      <c r="Z76" s="463"/>
      <c r="AA76" s="488"/>
      <c r="AB76" s="463"/>
      <c r="AC76" s="488"/>
      <c r="AD76" s="457"/>
      <c r="AE76" s="489"/>
      <c r="AF76" s="490"/>
      <c r="AG76" s="476">
        <f t="shared" si="16"/>
        <v>0</v>
      </c>
      <c r="AH76" s="457"/>
      <c r="AI76" s="37">
        <v>161.05263157894737</v>
      </c>
      <c r="AJ76" s="469">
        <v>0.2036</v>
      </c>
      <c r="AK76" s="486">
        <f t="shared" si="17"/>
        <v>1246.0320000000002</v>
      </c>
      <c r="AL76" s="457"/>
      <c r="AM76" s="477">
        <f t="shared" si="18"/>
        <v>29556.297200000001</v>
      </c>
      <c r="AN76" s="464"/>
      <c r="AO76" s="402"/>
      <c r="AP76" s="402"/>
      <c r="AQ76" s="402">
        <f t="shared" si="20"/>
        <v>29556.297200000001</v>
      </c>
      <c r="AR76" s="478"/>
      <c r="AV76" s="29"/>
      <c r="AW76" s="29"/>
    </row>
    <row r="77" spans="1:49" customFormat="1" ht="15" x14ac:dyDescent="0.25">
      <c r="A77" s="502" t="s">
        <v>1028</v>
      </c>
      <c r="B77" s="503"/>
      <c r="C77" s="504" t="s">
        <v>597</v>
      </c>
      <c r="D77" s="457"/>
      <c r="E77" s="482"/>
      <c r="F77" s="483"/>
      <c r="G77" s="467">
        <v>0</v>
      </c>
      <c r="H77" s="467">
        <v>0</v>
      </c>
      <c r="I77" s="467">
        <v>0</v>
      </c>
      <c r="J77" s="468">
        <f t="shared" si="19"/>
        <v>0</v>
      </c>
      <c r="K77" s="484"/>
      <c r="L77" s="485">
        <f t="shared" si="12"/>
        <v>0</v>
      </c>
      <c r="M77" s="484" t="s">
        <v>579</v>
      </c>
      <c r="N77" s="469">
        <v>3.6058989272000002</v>
      </c>
      <c r="O77" s="486">
        <f t="shared" si="13"/>
        <v>0</v>
      </c>
      <c r="P77" s="461"/>
      <c r="Q77" s="37">
        <v>0</v>
      </c>
      <c r="R77" s="469">
        <v>0.2036</v>
      </c>
      <c r="S77" s="486">
        <f t="shared" si="14"/>
        <v>0</v>
      </c>
      <c r="T77" s="461"/>
      <c r="U77" s="37">
        <v>0</v>
      </c>
      <c r="V77" s="469">
        <v>1.7611399999999999</v>
      </c>
      <c r="W77" s="487">
        <f t="shared" si="15"/>
        <v>0</v>
      </c>
      <c r="X77" s="457"/>
      <c r="Y77" s="488"/>
      <c r="Z77" s="463"/>
      <c r="AA77" s="488"/>
      <c r="AB77" s="463"/>
      <c r="AC77" s="488"/>
      <c r="AD77" s="457"/>
      <c r="AE77" s="489"/>
      <c r="AF77" s="490"/>
      <c r="AG77" s="476">
        <f t="shared" si="16"/>
        <v>0</v>
      </c>
      <c r="AH77" s="457"/>
      <c r="AI77" s="37">
        <v>0</v>
      </c>
      <c r="AJ77" s="469">
        <v>0.2036</v>
      </c>
      <c r="AK77" s="486">
        <f t="shared" si="17"/>
        <v>0</v>
      </c>
      <c r="AL77" s="457"/>
      <c r="AM77" s="477">
        <f t="shared" si="18"/>
        <v>0</v>
      </c>
      <c r="AN77" s="464"/>
      <c r="AO77" s="402"/>
      <c r="AP77" s="402"/>
      <c r="AQ77" s="402">
        <f t="shared" si="20"/>
        <v>0</v>
      </c>
      <c r="AR77" s="478"/>
      <c r="AV77" s="29"/>
      <c r="AW77" s="29"/>
    </row>
    <row r="78" spans="1:49" customFormat="1" ht="15" x14ac:dyDescent="0.25">
      <c r="A78" s="505" t="s">
        <v>896</v>
      </c>
      <c r="B78" s="503"/>
      <c r="C78" s="503" t="s">
        <v>598</v>
      </c>
      <c r="D78" s="457"/>
      <c r="E78" s="482"/>
      <c r="F78" s="483"/>
      <c r="G78" s="467">
        <v>0</v>
      </c>
      <c r="H78" s="467">
        <v>0</v>
      </c>
      <c r="I78" s="467">
        <v>0</v>
      </c>
      <c r="J78" s="468">
        <f t="shared" si="19"/>
        <v>0</v>
      </c>
      <c r="K78" s="484"/>
      <c r="L78" s="485">
        <f t="shared" si="12"/>
        <v>0</v>
      </c>
      <c r="M78" s="484" t="s">
        <v>579</v>
      </c>
      <c r="N78" s="469">
        <v>3.6058989272000002</v>
      </c>
      <c r="O78" s="486">
        <f t="shared" si="13"/>
        <v>0</v>
      </c>
      <c r="P78" s="461"/>
      <c r="Q78" s="37">
        <v>0</v>
      </c>
      <c r="R78" s="469">
        <v>0.2036</v>
      </c>
      <c r="S78" s="486">
        <f t="shared" si="14"/>
        <v>0</v>
      </c>
      <c r="T78" s="461"/>
      <c r="U78" s="37">
        <v>0</v>
      </c>
      <c r="V78" s="469">
        <v>1.7611399999999999</v>
      </c>
      <c r="W78" s="487">
        <f t="shared" si="15"/>
        <v>0</v>
      </c>
      <c r="X78" s="457"/>
      <c r="Y78" s="488"/>
      <c r="Z78" s="463"/>
      <c r="AA78" s="488"/>
      <c r="AB78" s="463"/>
      <c r="AC78" s="488"/>
      <c r="AD78" s="457"/>
      <c r="AE78" s="489"/>
      <c r="AF78" s="490"/>
      <c r="AG78" s="476">
        <f t="shared" si="16"/>
        <v>0</v>
      </c>
      <c r="AH78" s="457"/>
      <c r="AI78" s="37">
        <v>0</v>
      </c>
      <c r="AJ78" s="469">
        <v>0.2036</v>
      </c>
      <c r="AK78" s="486">
        <f t="shared" si="17"/>
        <v>0</v>
      </c>
      <c r="AL78" s="457"/>
      <c r="AM78" s="477">
        <f t="shared" si="18"/>
        <v>0</v>
      </c>
      <c r="AN78" s="464"/>
      <c r="AO78" s="402"/>
      <c r="AP78" s="402"/>
      <c r="AQ78" s="402">
        <f t="shared" si="20"/>
        <v>0</v>
      </c>
      <c r="AR78" s="478"/>
      <c r="AV78" s="29"/>
      <c r="AW78" s="29"/>
    </row>
    <row r="79" spans="1:49" customFormat="1" ht="15" x14ac:dyDescent="0.25">
      <c r="A79" s="506" t="s">
        <v>897</v>
      </c>
      <c r="B79" s="507"/>
      <c r="C79" s="507">
        <v>205999</v>
      </c>
      <c r="D79" s="457"/>
      <c r="E79" s="482"/>
      <c r="F79" s="483"/>
      <c r="G79" s="467">
        <v>540</v>
      </c>
      <c r="H79" s="467">
        <v>0</v>
      </c>
      <c r="I79" s="467">
        <v>288</v>
      </c>
      <c r="J79" s="468">
        <f t="shared" si="19"/>
        <v>828</v>
      </c>
      <c r="K79" s="484"/>
      <c r="L79" s="485">
        <f t="shared" si="12"/>
        <v>828</v>
      </c>
      <c r="M79" s="484" t="s">
        <v>579</v>
      </c>
      <c r="N79" s="469">
        <v>3.6058989272000002</v>
      </c>
      <c r="O79" s="486">
        <f t="shared" si="13"/>
        <v>2986</v>
      </c>
      <c r="P79" s="461"/>
      <c r="Q79" s="37">
        <v>30.367894736842103</v>
      </c>
      <c r="R79" s="469">
        <v>0.2036</v>
      </c>
      <c r="S79" s="486">
        <f t="shared" si="14"/>
        <v>234.95032799999998</v>
      </c>
      <c r="T79" s="461"/>
      <c r="U79" s="37">
        <v>0</v>
      </c>
      <c r="V79" s="469">
        <v>1.7611399999999999</v>
      </c>
      <c r="W79" s="487">
        <f t="shared" si="15"/>
        <v>0</v>
      </c>
      <c r="X79" s="457"/>
      <c r="Y79" s="488"/>
      <c r="Z79" s="463"/>
      <c r="AA79" s="488"/>
      <c r="AB79" s="463"/>
      <c r="AC79" s="488"/>
      <c r="AD79" s="457"/>
      <c r="AE79" s="489"/>
      <c r="AF79" s="490"/>
      <c r="AG79" s="476">
        <f t="shared" si="16"/>
        <v>0</v>
      </c>
      <c r="AH79" s="457"/>
      <c r="AI79" s="37">
        <v>5.0613157894736842</v>
      </c>
      <c r="AJ79" s="469">
        <v>0.2036</v>
      </c>
      <c r="AK79" s="486">
        <f t="shared" si="17"/>
        <v>39.158388000000002</v>
      </c>
      <c r="AL79" s="457"/>
      <c r="AM79" s="477">
        <f t="shared" si="18"/>
        <v>3260.1087159999997</v>
      </c>
      <c r="AN79" s="464"/>
      <c r="AO79" s="402"/>
      <c r="AP79" s="402"/>
      <c r="AQ79" s="402">
        <f t="shared" si="20"/>
        <v>3260.1087159999997</v>
      </c>
      <c r="AR79" s="478"/>
      <c r="AV79" s="29"/>
      <c r="AW79" s="29"/>
    </row>
    <row r="80" spans="1:49" customFormat="1" ht="15" x14ac:dyDescent="0.25">
      <c r="A80" s="506" t="s">
        <v>898</v>
      </c>
      <c r="B80" s="507"/>
      <c r="C80" s="507">
        <v>205921</v>
      </c>
      <c r="D80" s="457"/>
      <c r="E80" s="482"/>
      <c r="F80" s="483"/>
      <c r="G80" s="467">
        <v>72</v>
      </c>
      <c r="H80" s="467">
        <v>0</v>
      </c>
      <c r="I80" s="467">
        <v>72</v>
      </c>
      <c r="J80" s="468">
        <f t="shared" si="19"/>
        <v>144</v>
      </c>
      <c r="K80" s="484"/>
      <c r="L80" s="485">
        <f t="shared" si="12"/>
        <v>144</v>
      </c>
      <c r="M80" s="484" t="s">
        <v>579</v>
      </c>
      <c r="N80" s="469">
        <v>3.6058989272000002</v>
      </c>
      <c r="O80" s="486">
        <f t="shared" si="13"/>
        <v>519</v>
      </c>
      <c r="P80" s="461"/>
      <c r="Q80" s="37">
        <v>0</v>
      </c>
      <c r="R80" s="469">
        <v>0.2036</v>
      </c>
      <c r="S80" s="486">
        <f t="shared" si="14"/>
        <v>0</v>
      </c>
      <c r="T80" s="461"/>
      <c r="U80" s="37">
        <v>0</v>
      </c>
      <c r="V80" s="469">
        <v>1.7611399999999999</v>
      </c>
      <c r="W80" s="487">
        <f t="shared" si="15"/>
        <v>0</v>
      </c>
      <c r="X80" s="457"/>
      <c r="Y80" s="488"/>
      <c r="Z80" s="463"/>
      <c r="AA80" s="488"/>
      <c r="AB80" s="463"/>
      <c r="AC80" s="488"/>
      <c r="AD80" s="457"/>
      <c r="AE80" s="489"/>
      <c r="AF80" s="490"/>
      <c r="AG80" s="476">
        <f t="shared" si="16"/>
        <v>0</v>
      </c>
      <c r="AH80" s="457"/>
      <c r="AI80" s="37">
        <v>0</v>
      </c>
      <c r="AJ80" s="469">
        <v>0.2036</v>
      </c>
      <c r="AK80" s="486">
        <f t="shared" si="17"/>
        <v>0</v>
      </c>
      <c r="AL80" s="457"/>
      <c r="AM80" s="477">
        <f t="shared" si="18"/>
        <v>519</v>
      </c>
      <c r="AN80" s="464"/>
      <c r="AO80" s="402"/>
      <c r="AP80" s="402"/>
      <c r="AQ80" s="402">
        <f t="shared" si="20"/>
        <v>519</v>
      </c>
      <c r="AR80" s="478"/>
      <c r="AV80" s="29"/>
      <c r="AW80" s="29"/>
    </row>
    <row r="81" spans="1:49" customFormat="1" ht="15" x14ac:dyDescent="0.25">
      <c r="A81" s="508" t="s">
        <v>1026</v>
      </c>
      <c r="B81" s="509"/>
      <c r="C81" s="509" t="s">
        <v>599</v>
      </c>
      <c r="D81" s="457"/>
      <c r="E81" s="482"/>
      <c r="F81" s="483"/>
      <c r="G81" s="467">
        <v>180</v>
      </c>
      <c r="H81" s="467">
        <v>210</v>
      </c>
      <c r="I81" s="467">
        <v>180</v>
      </c>
      <c r="J81" s="468">
        <f t="shared" si="19"/>
        <v>570</v>
      </c>
      <c r="K81" s="484"/>
      <c r="L81" s="485">
        <f t="shared" si="12"/>
        <v>570</v>
      </c>
      <c r="M81" s="484" t="s">
        <v>579</v>
      </c>
      <c r="N81" s="469">
        <v>3.6058989272000002</v>
      </c>
      <c r="O81" s="486">
        <f t="shared" si="13"/>
        <v>2055</v>
      </c>
      <c r="P81" s="461"/>
      <c r="Q81" s="37">
        <v>15</v>
      </c>
      <c r="R81" s="469">
        <v>0.2036</v>
      </c>
      <c r="S81" s="486">
        <f t="shared" si="14"/>
        <v>116.05200000000001</v>
      </c>
      <c r="T81" s="461"/>
      <c r="U81" s="37">
        <v>0.93137254901960786</v>
      </c>
      <c r="V81" s="469">
        <v>1.7611399999999999</v>
      </c>
      <c r="W81" s="487">
        <f t="shared" si="15"/>
        <v>62.330543137254899</v>
      </c>
      <c r="X81" s="457"/>
      <c r="Y81" s="488"/>
      <c r="Z81" s="463"/>
      <c r="AA81" s="488"/>
      <c r="AB81" s="463"/>
      <c r="AC81" s="488"/>
      <c r="AD81" s="457"/>
      <c r="AE81" s="489"/>
      <c r="AF81" s="490"/>
      <c r="AG81" s="476">
        <f t="shared" si="16"/>
        <v>0</v>
      </c>
      <c r="AH81" s="457"/>
      <c r="AI81" s="37">
        <v>15</v>
      </c>
      <c r="AJ81" s="469">
        <v>0.2036</v>
      </c>
      <c r="AK81" s="486">
        <f t="shared" si="17"/>
        <v>116.05200000000001</v>
      </c>
      <c r="AL81" s="457"/>
      <c r="AM81" s="477">
        <f t="shared" si="18"/>
        <v>2349.4345431372549</v>
      </c>
      <c r="AN81" s="464"/>
      <c r="AO81" s="402"/>
      <c r="AP81" s="402"/>
      <c r="AQ81" s="402">
        <f t="shared" si="20"/>
        <v>2349.4345431372549</v>
      </c>
      <c r="AR81" s="478"/>
      <c r="AV81" s="29"/>
      <c r="AW81" s="29"/>
    </row>
    <row r="82" spans="1:49" customFormat="1" ht="15" x14ac:dyDescent="0.25">
      <c r="A82" s="508" t="s">
        <v>1027</v>
      </c>
      <c r="B82" s="509"/>
      <c r="C82" s="509" t="s">
        <v>600</v>
      </c>
      <c r="D82" s="457"/>
      <c r="E82" s="482"/>
      <c r="F82" s="483"/>
      <c r="G82" s="467">
        <v>180</v>
      </c>
      <c r="H82" s="467">
        <v>210</v>
      </c>
      <c r="I82" s="467">
        <v>180</v>
      </c>
      <c r="J82" s="468">
        <f t="shared" si="19"/>
        <v>570</v>
      </c>
      <c r="K82" s="484"/>
      <c r="L82" s="485">
        <f t="shared" si="12"/>
        <v>570</v>
      </c>
      <c r="M82" s="484" t="s">
        <v>579</v>
      </c>
      <c r="N82" s="469">
        <v>3.6058989272000002</v>
      </c>
      <c r="O82" s="486">
        <f t="shared" si="13"/>
        <v>2055</v>
      </c>
      <c r="P82" s="461"/>
      <c r="Q82" s="37">
        <v>15</v>
      </c>
      <c r="R82" s="469">
        <v>0.2036</v>
      </c>
      <c r="S82" s="486">
        <f t="shared" si="14"/>
        <v>116.05200000000001</v>
      </c>
      <c r="T82" s="461"/>
      <c r="U82" s="37">
        <v>0.93137254901960786</v>
      </c>
      <c r="V82" s="469">
        <v>1.7611399999999999</v>
      </c>
      <c r="W82" s="487">
        <f t="shared" si="15"/>
        <v>62.330543137254899</v>
      </c>
      <c r="X82" s="457"/>
      <c r="Y82" s="488"/>
      <c r="Z82" s="463"/>
      <c r="AA82" s="488"/>
      <c r="AB82" s="463"/>
      <c r="AC82" s="488"/>
      <c r="AD82" s="457"/>
      <c r="AE82" s="489"/>
      <c r="AF82" s="490"/>
      <c r="AG82" s="476">
        <f t="shared" si="16"/>
        <v>0</v>
      </c>
      <c r="AH82" s="457"/>
      <c r="AI82" s="37">
        <v>15</v>
      </c>
      <c r="AJ82" s="469">
        <v>0.2036</v>
      </c>
      <c r="AK82" s="486">
        <f t="shared" si="17"/>
        <v>116.05200000000001</v>
      </c>
      <c r="AL82" s="457"/>
      <c r="AM82" s="477">
        <f t="shared" si="18"/>
        <v>2349.4345431372549</v>
      </c>
      <c r="AN82" s="464"/>
      <c r="AO82" s="402"/>
      <c r="AP82" s="402"/>
      <c r="AQ82" s="402">
        <f t="shared" si="20"/>
        <v>2349.4345431372549</v>
      </c>
      <c r="AR82" s="478"/>
      <c r="AV82" s="29"/>
      <c r="AW82" s="29"/>
    </row>
    <row r="83" spans="1:49" customFormat="1" ht="15" x14ac:dyDescent="0.25">
      <c r="A83" s="510" t="s">
        <v>1014</v>
      </c>
      <c r="B83" s="507"/>
      <c r="C83" s="511" t="s">
        <v>601</v>
      </c>
      <c r="D83" s="457"/>
      <c r="E83" s="482"/>
      <c r="F83" s="483"/>
      <c r="G83" s="467">
        <v>180</v>
      </c>
      <c r="H83" s="467">
        <v>80</v>
      </c>
      <c r="I83" s="467">
        <v>160</v>
      </c>
      <c r="J83" s="468">
        <f t="shared" si="19"/>
        <v>420</v>
      </c>
      <c r="K83" s="484"/>
      <c r="L83" s="485">
        <f t="shared" si="12"/>
        <v>420</v>
      </c>
      <c r="M83" s="484" t="s">
        <v>579</v>
      </c>
      <c r="N83" s="469">
        <v>3.6058989272000002</v>
      </c>
      <c r="O83" s="486">
        <f t="shared" si="13"/>
        <v>1514</v>
      </c>
      <c r="P83" s="461"/>
      <c r="Q83" s="37">
        <v>0</v>
      </c>
      <c r="R83" s="469"/>
      <c r="S83" s="486">
        <f t="shared" si="14"/>
        <v>0</v>
      </c>
      <c r="T83" s="461"/>
      <c r="U83" s="37">
        <v>0</v>
      </c>
      <c r="V83" s="469">
        <v>1.7611399999999999</v>
      </c>
      <c r="W83" s="487">
        <f t="shared" si="15"/>
        <v>0</v>
      </c>
      <c r="X83" s="457"/>
      <c r="Y83" s="488"/>
      <c r="Z83" s="463"/>
      <c r="AA83" s="488"/>
      <c r="AB83" s="463"/>
      <c r="AC83" s="488"/>
      <c r="AD83" s="457"/>
      <c r="AE83" s="489"/>
      <c r="AF83" s="490"/>
      <c r="AG83" s="476">
        <f t="shared" si="16"/>
        <v>0</v>
      </c>
      <c r="AH83" s="457"/>
      <c r="AI83" s="37">
        <v>0</v>
      </c>
      <c r="AJ83" s="469">
        <v>0.2036</v>
      </c>
      <c r="AK83" s="486">
        <f t="shared" si="17"/>
        <v>0</v>
      </c>
      <c r="AL83" s="457"/>
      <c r="AM83" s="477">
        <f t="shared" si="18"/>
        <v>1514</v>
      </c>
      <c r="AN83" s="464"/>
      <c r="AO83" s="402"/>
      <c r="AP83" s="402"/>
      <c r="AQ83" s="402">
        <f t="shared" si="20"/>
        <v>1514</v>
      </c>
      <c r="AR83" s="478"/>
      <c r="AV83" s="29"/>
      <c r="AW83" s="29"/>
    </row>
    <row r="84" spans="1:49" customFormat="1" ht="15" x14ac:dyDescent="0.25">
      <c r="A84" s="512" t="s">
        <v>1015</v>
      </c>
      <c r="B84" s="509"/>
      <c r="C84" s="509" t="s">
        <v>602</v>
      </c>
      <c r="D84" s="457"/>
      <c r="E84" s="482"/>
      <c r="F84" s="483"/>
      <c r="G84" s="467">
        <v>180</v>
      </c>
      <c r="H84" s="467">
        <v>210</v>
      </c>
      <c r="I84" s="467">
        <v>180</v>
      </c>
      <c r="J84" s="468">
        <f t="shared" si="19"/>
        <v>570</v>
      </c>
      <c r="K84" s="484"/>
      <c r="L84" s="485">
        <f t="shared" si="12"/>
        <v>570</v>
      </c>
      <c r="M84" s="484" t="s">
        <v>579</v>
      </c>
      <c r="N84" s="469">
        <v>3.6058989272000002</v>
      </c>
      <c r="O84" s="486">
        <f t="shared" si="13"/>
        <v>2055</v>
      </c>
      <c r="P84" s="461"/>
      <c r="Q84" s="37">
        <v>15</v>
      </c>
      <c r="R84" s="469">
        <v>0.2036</v>
      </c>
      <c r="S84" s="486">
        <f t="shared" si="14"/>
        <v>116.05200000000001</v>
      </c>
      <c r="T84" s="461"/>
      <c r="U84" s="37">
        <v>0.93137254901960786</v>
      </c>
      <c r="V84" s="469">
        <v>1.7611399999999999</v>
      </c>
      <c r="W84" s="487">
        <f t="shared" si="15"/>
        <v>62.330543137254899</v>
      </c>
      <c r="X84" s="457"/>
      <c r="Y84" s="488"/>
      <c r="Z84" s="463"/>
      <c r="AA84" s="488"/>
      <c r="AB84" s="463"/>
      <c r="AC84" s="488"/>
      <c r="AD84" s="457"/>
      <c r="AE84" s="489"/>
      <c r="AF84" s="490"/>
      <c r="AG84" s="476">
        <f t="shared" si="16"/>
        <v>0</v>
      </c>
      <c r="AH84" s="457"/>
      <c r="AI84" s="37">
        <v>15</v>
      </c>
      <c r="AJ84" s="469">
        <v>0.2036</v>
      </c>
      <c r="AK84" s="486">
        <f t="shared" si="17"/>
        <v>116.05200000000001</v>
      </c>
      <c r="AL84" s="457"/>
      <c r="AM84" s="477">
        <f t="shared" si="18"/>
        <v>2349.4345431372549</v>
      </c>
      <c r="AN84" s="464"/>
      <c r="AO84" s="402"/>
      <c r="AP84" s="402"/>
      <c r="AQ84" s="402">
        <f t="shared" si="20"/>
        <v>2349.4345431372549</v>
      </c>
      <c r="AR84" s="478"/>
      <c r="AV84" s="29"/>
      <c r="AW84" s="29"/>
    </row>
    <row r="85" spans="1:49" customFormat="1" ht="15" x14ac:dyDescent="0.25">
      <c r="A85" s="513" t="s">
        <v>899</v>
      </c>
      <c r="B85" s="507"/>
      <c r="C85" s="507">
        <v>205922</v>
      </c>
      <c r="D85" s="457"/>
      <c r="E85" s="482"/>
      <c r="F85" s="483"/>
      <c r="G85" s="467">
        <v>720</v>
      </c>
      <c r="H85" s="467">
        <v>840</v>
      </c>
      <c r="I85" s="467">
        <v>720</v>
      </c>
      <c r="J85" s="468">
        <f t="shared" si="19"/>
        <v>2280</v>
      </c>
      <c r="K85" s="484"/>
      <c r="L85" s="485">
        <f t="shared" si="12"/>
        <v>2280</v>
      </c>
      <c r="M85" s="484" t="s">
        <v>579</v>
      </c>
      <c r="N85" s="469">
        <v>3.6058989272000002</v>
      </c>
      <c r="O85" s="486">
        <f t="shared" si="13"/>
        <v>8221</v>
      </c>
      <c r="P85" s="461"/>
      <c r="Q85" s="37">
        <v>5.3987368421052633</v>
      </c>
      <c r="R85" s="469">
        <v>0.2036</v>
      </c>
      <c r="S85" s="486">
        <f t="shared" si="14"/>
        <v>41.768947199999999</v>
      </c>
      <c r="T85" s="461"/>
      <c r="U85" s="37">
        <v>0</v>
      </c>
      <c r="V85" s="469">
        <v>1.7611399999999999</v>
      </c>
      <c r="W85" s="487">
        <f t="shared" si="15"/>
        <v>0</v>
      </c>
      <c r="X85" s="457"/>
      <c r="Y85" s="488"/>
      <c r="Z85" s="463"/>
      <c r="AA85" s="488"/>
      <c r="AB85" s="463"/>
      <c r="AC85" s="488"/>
      <c r="AD85" s="457"/>
      <c r="AE85" s="489"/>
      <c r="AF85" s="490"/>
      <c r="AG85" s="476">
        <f t="shared" si="16"/>
        <v>0</v>
      </c>
      <c r="AH85" s="457"/>
      <c r="AI85" s="37">
        <v>0</v>
      </c>
      <c r="AJ85" s="469">
        <v>0.2036</v>
      </c>
      <c r="AK85" s="486">
        <f t="shared" si="17"/>
        <v>0</v>
      </c>
      <c r="AL85" s="457"/>
      <c r="AM85" s="477">
        <f t="shared" si="18"/>
        <v>8262.7689472000002</v>
      </c>
      <c r="AN85" s="464"/>
      <c r="AO85" s="402"/>
      <c r="AP85" s="402"/>
      <c r="AQ85" s="402">
        <f t="shared" si="20"/>
        <v>8262.7689472000002</v>
      </c>
      <c r="AR85" s="478"/>
      <c r="AV85" s="29"/>
      <c r="AW85" s="29"/>
    </row>
    <row r="86" spans="1:49" customFormat="1" ht="15" x14ac:dyDescent="0.25">
      <c r="A86" s="505" t="s">
        <v>900</v>
      </c>
      <c r="B86" s="503"/>
      <c r="C86" s="503" t="s">
        <v>603</v>
      </c>
      <c r="D86" s="457"/>
      <c r="E86" s="482"/>
      <c r="F86" s="483"/>
      <c r="G86" s="467">
        <v>0</v>
      </c>
      <c r="H86" s="467">
        <v>0</v>
      </c>
      <c r="I86" s="467">
        <v>0</v>
      </c>
      <c r="J86" s="468">
        <f t="shared" si="19"/>
        <v>0</v>
      </c>
      <c r="K86" s="484"/>
      <c r="L86" s="485">
        <f t="shared" si="12"/>
        <v>0</v>
      </c>
      <c r="M86" s="484" t="s">
        <v>579</v>
      </c>
      <c r="N86" s="469">
        <v>3.6058989272000002</v>
      </c>
      <c r="O86" s="486">
        <f t="shared" si="13"/>
        <v>0</v>
      </c>
      <c r="P86" s="461"/>
      <c r="Q86" s="37">
        <v>0</v>
      </c>
      <c r="R86" s="469">
        <v>0.2036</v>
      </c>
      <c r="S86" s="486">
        <f t="shared" si="14"/>
        <v>0</v>
      </c>
      <c r="T86" s="461"/>
      <c r="U86" s="37">
        <v>0</v>
      </c>
      <c r="V86" s="469">
        <v>1.7611399999999999</v>
      </c>
      <c r="W86" s="487">
        <f t="shared" si="15"/>
        <v>0</v>
      </c>
      <c r="X86" s="457"/>
      <c r="Y86" s="488"/>
      <c r="Z86" s="463"/>
      <c r="AA86" s="488"/>
      <c r="AB86" s="463"/>
      <c r="AC86" s="488"/>
      <c r="AD86" s="457"/>
      <c r="AE86" s="489"/>
      <c r="AF86" s="490"/>
      <c r="AG86" s="476">
        <f t="shared" si="16"/>
        <v>0</v>
      </c>
      <c r="AH86" s="457"/>
      <c r="AI86" s="37">
        <v>0</v>
      </c>
      <c r="AJ86" s="469">
        <v>0.2036</v>
      </c>
      <c r="AK86" s="486">
        <f t="shared" si="17"/>
        <v>0</v>
      </c>
      <c r="AL86" s="457"/>
      <c r="AM86" s="477">
        <f t="shared" si="18"/>
        <v>0</v>
      </c>
      <c r="AN86" s="464"/>
      <c r="AO86" s="402"/>
      <c r="AP86" s="402"/>
      <c r="AQ86" s="402">
        <f t="shared" si="20"/>
        <v>0</v>
      </c>
      <c r="AR86" s="478"/>
    </row>
    <row r="87" spans="1:49" customFormat="1" ht="15" x14ac:dyDescent="0.25">
      <c r="A87" s="514" t="s">
        <v>1016</v>
      </c>
      <c r="B87" s="509"/>
      <c r="C87" s="509" t="s">
        <v>604</v>
      </c>
      <c r="D87" s="457"/>
      <c r="E87" s="482"/>
      <c r="F87" s="483"/>
      <c r="G87" s="467">
        <v>180</v>
      </c>
      <c r="H87" s="467">
        <v>210</v>
      </c>
      <c r="I87" s="467">
        <v>180</v>
      </c>
      <c r="J87" s="468">
        <f t="shared" si="19"/>
        <v>570</v>
      </c>
      <c r="K87" s="484"/>
      <c r="L87" s="485">
        <f t="shared" si="12"/>
        <v>570</v>
      </c>
      <c r="M87" s="484" t="s">
        <v>579</v>
      </c>
      <c r="N87" s="469">
        <v>3.6058989272000002</v>
      </c>
      <c r="O87" s="486">
        <f t="shared" si="13"/>
        <v>2055</v>
      </c>
      <c r="P87" s="461"/>
      <c r="Q87" s="37">
        <v>15</v>
      </c>
      <c r="R87" s="469">
        <v>0.2036</v>
      </c>
      <c r="S87" s="486">
        <f t="shared" si="14"/>
        <v>116.05200000000001</v>
      </c>
      <c r="T87" s="461"/>
      <c r="U87" s="37">
        <v>0.93137254901960786</v>
      </c>
      <c r="V87" s="469">
        <v>1.7611399999999999</v>
      </c>
      <c r="W87" s="487">
        <f t="shared" si="15"/>
        <v>62.330543137254899</v>
      </c>
      <c r="X87" s="457"/>
      <c r="Y87" s="488"/>
      <c r="Z87" s="463"/>
      <c r="AA87" s="488"/>
      <c r="AB87" s="463"/>
      <c r="AC87" s="488"/>
      <c r="AD87" s="457"/>
      <c r="AE87" s="489"/>
      <c r="AF87" s="490"/>
      <c r="AG87" s="476">
        <f t="shared" si="16"/>
        <v>0</v>
      </c>
      <c r="AH87" s="457"/>
      <c r="AI87" s="37">
        <v>15</v>
      </c>
      <c r="AJ87" s="469">
        <v>0.2036</v>
      </c>
      <c r="AK87" s="486">
        <f t="shared" si="17"/>
        <v>116.05200000000001</v>
      </c>
      <c r="AL87" s="457"/>
      <c r="AM87" s="477">
        <f t="shared" si="18"/>
        <v>2349.4345431372549</v>
      </c>
      <c r="AN87" s="464"/>
      <c r="AO87" s="402"/>
      <c r="AP87" s="402"/>
      <c r="AQ87" s="402">
        <f t="shared" si="20"/>
        <v>2349.4345431372549</v>
      </c>
      <c r="AR87" s="478"/>
    </row>
    <row r="88" spans="1:49" customFormat="1" ht="15" x14ac:dyDescent="0.25">
      <c r="A88" s="515" t="s">
        <v>901</v>
      </c>
      <c r="B88" s="503"/>
      <c r="C88" s="503">
        <v>205849</v>
      </c>
      <c r="D88" s="457"/>
      <c r="E88" s="482"/>
      <c r="F88" s="483"/>
      <c r="G88" s="467">
        <v>180</v>
      </c>
      <c r="H88" s="467">
        <v>210</v>
      </c>
      <c r="I88" s="467">
        <v>0</v>
      </c>
      <c r="J88" s="468">
        <f t="shared" si="19"/>
        <v>390</v>
      </c>
      <c r="K88" s="484"/>
      <c r="L88" s="485">
        <f t="shared" si="12"/>
        <v>390</v>
      </c>
      <c r="M88" s="484" t="s">
        <v>579</v>
      </c>
      <c r="N88" s="469">
        <v>3.6058989272000002</v>
      </c>
      <c r="O88" s="486">
        <f t="shared" si="13"/>
        <v>1406</v>
      </c>
      <c r="P88" s="461"/>
      <c r="Q88" s="37">
        <v>0</v>
      </c>
      <c r="R88" s="469">
        <v>0.2036</v>
      </c>
      <c r="S88" s="486">
        <f t="shared" si="14"/>
        <v>0</v>
      </c>
      <c r="T88" s="461"/>
      <c r="U88" s="37">
        <v>0</v>
      </c>
      <c r="V88" s="469">
        <v>1.7611399999999999</v>
      </c>
      <c r="W88" s="487">
        <f t="shared" si="15"/>
        <v>0</v>
      </c>
      <c r="X88" s="457"/>
      <c r="Y88" s="488"/>
      <c r="Z88" s="463"/>
      <c r="AA88" s="488"/>
      <c r="AB88" s="463"/>
      <c r="AC88" s="488"/>
      <c r="AD88" s="457"/>
      <c r="AE88" s="489"/>
      <c r="AF88" s="490"/>
      <c r="AG88" s="476">
        <f t="shared" si="16"/>
        <v>0</v>
      </c>
      <c r="AH88" s="457"/>
      <c r="AI88" s="37">
        <v>0</v>
      </c>
      <c r="AJ88" s="469">
        <v>0.2036</v>
      </c>
      <c r="AK88" s="486">
        <f t="shared" si="17"/>
        <v>0</v>
      </c>
      <c r="AL88" s="457"/>
      <c r="AM88" s="477">
        <f t="shared" si="18"/>
        <v>1406</v>
      </c>
      <c r="AN88" s="464"/>
      <c r="AO88" s="402"/>
      <c r="AP88" s="402"/>
      <c r="AQ88" s="402">
        <f t="shared" si="20"/>
        <v>1406</v>
      </c>
      <c r="AR88" s="478"/>
    </row>
    <row r="89" spans="1:49" customFormat="1" ht="15" x14ac:dyDescent="0.25">
      <c r="A89" s="510" t="s">
        <v>1017</v>
      </c>
      <c r="B89" s="503"/>
      <c r="C89" s="516" t="s">
        <v>605</v>
      </c>
      <c r="D89" s="457"/>
      <c r="E89" s="482"/>
      <c r="F89" s="483"/>
      <c r="G89" s="467">
        <v>80</v>
      </c>
      <c r="H89" s="467">
        <v>20</v>
      </c>
      <c r="I89" s="467">
        <v>60</v>
      </c>
      <c r="J89" s="468">
        <f t="shared" si="19"/>
        <v>160</v>
      </c>
      <c r="K89" s="484"/>
      <c r="L89" s="485">
        <f t="shared" si="12"/>
        <v>160</v>
      </c>
      <c r="M89" s="484" t="s">
        <v>579</v>
      </c>
      <c r="N89" s="469">
        <v>3.6058989272000002</v>
      </c>
      <c r="O89" s="486">
        <f t="shared" si="13"/>
        <v>577</v>
      </c>
      <c r="P89" s="461"/>
      <c r="Q89" s="37">
        <v>0</v>
      </c>
      <c r="R89" s="469"/>
      <c r="S89" s="486">
        <f t="shared" si="14"/>
        <v>0</v>
      </c>
      <c r="T89" s="461"/>
      <c r="U89" s="37">
        <v>0</v>
      </c>
      <c r="V89" s="469">
        <v>1.7611399999999999</v>
      </c>
      <c r="W89" s="487">
        <f t="shared" si="15"/>
        <v>0</v>
      </c>
      <c r="X89" s="457"/>
      <c r="Y89" s="488"/>
      <c r="Z89" s="463"/>
      <c r="AA89" s="488"/>
      <c r="AB89" s="463"/>
      <c r="AC89" s="488"/>
      <c r="AD89" s="457"/>
      <c r="AE89" s="489"/>
      <c r="AF89" s="490"/>
      <c r="AG89" s="476">
        <f t="shared" si="16"/>
        <v>0</v>
      </c>
      <c r="AH89" s="457"/>
      <c r="AI89" s="37">
        <v>0</v>
      </c>
      <c r="AJ89" s="469">
        <v>0.2036</v>
      </c>
      <c r="AK89" s="486">
        <f t="shared" si="17"/>
        <v>0</v>
      </c>
      <c r="AL89" s="457"/>
      <c r="AM89" s="477">
        <f t="shared" si="18"/>
        <v>577</v>
      </c>
      <c r="AN89" s="464"/>
      <c r="AO89" s="402"/>
      <c r="AP89" s="402"/>
      <c r="AQ89" s="402">
        <f t="shared" si="20"/>
        <v>577</v>
      </c>
      <c r="AR89" s="478"/>
    </row>
    <row r="90" spans="1:49" customFormat="1" ht="15" x14ac:dyDescent="0.25">
      <c r="A90" s="506" t="s">
        <v>902</v>
      </c>
      <c r="B90" s="507"/>
      <c r="C90" s="507" t="s">
        <v>606</v>
      </c>
      <c r="D90" s="457"/>
      <c r="E90" s="482"/>
      <c r="F90" s="483"/>
      <c r="G90" s="467">
        <v>360</v>
      </c>
      <c r="H90" s="467">
        <v>210</v>
      </c>
      <c r="I90" s="467">
        <v>180</v>
      </c>
      <c r="J90" s="468">
        <f t="shared" si="19"/>
        <v>750</v>
      </c>
      <c r="K90" s="484"/>
      <c r="L90" s="485">
        <f t="shared" si="12"/>
        <v>750</v>
      </c>
      <c r="M90" s="484" t="s">
        <v>579</v>
      </c>
      <c r="N90" s="469">
        <v>3.6058989272000002</v>
      </c>
      <c r="O90" s="486">
        <f t="shared" si="13"/>
        <v>2704</v>
      </c>
      <c r="P90" s="461"/>
      <c r="Q90" s="37">
        <v>0</v>
      </c>
      <c r="R90" s="469">
        <v>0.2036</v>
      </c>
      <c r="S90" s="486">
        <f t="shared" si="14"/>
        <v>0</v>
      </c>
      <c r="T90" s="461"/>
      <c r="U90" s="37">
        <v>0</v>
      </c>
      <c r="V90" s="469">
        <v>1.7611399999999999</v>
      </c>
      <c r="W90" s="487">
        <f t="shared" si="15"/>
        <v>0</v>
      </c>
      <c r="X90" s="457"/>
      <c r="Y90" s="488"/>
      <c r="Z90" s="463"/>
      <c r="AA90" s="488"/>
      <c r="AB90" s="463"/>
      <c r="AC90" s="488"/>
      <c r="AD90" s="457"/>
      <c r="AE90" s="489"/>
      <c r="AF90" s="490"/>
      <c r="AG90" s="476">
        <f t="shared" si="16"/>
        <v>0</v>
      </c>
      <c r="AH90" s="457"/>
      <c r="AI90" s="37">
        <v>0</v>
      </c>
      <c r="AJ90" s="469">
        <v>0.2036</v>
      </c>
      <c r="AK90" s="486">
        <f t="shared" si="17"/>
        <v>0</v>
      </c>
      <c r="AL90" s="457"/>
      <c r="AM90" s="477">
        <f t="shared" si="18"/>
        <v>2704</v>
      </c>
      <c r="AN90" s="464"/>
      <c r="AO90" s="402"/>
      <c r="AP90" s="402"/>
      <c r="AQ90" s="402">
        <f t="shared" si="20"/>
        <v>2704</v>
      </c>
      <c r="AR90" s="478"/>
    </row>
    <row r="91" spans="1:49" customFormat="1" ht="15" x14ac:dyDescent="0.25">
      <c r="A91" s="515" t="s">
        <v>903</v>
      </c>
      <c r="B91" s="507"/>
      <c r="C91" s="507">
        <v>2</v>
      </c>
      <c r="D91" s="457"/>
      <c r="E91" s="482"/>
      <c r="F91" s="483"/>
      <c r="G91" s="467">
        <v>0</v>
      </c>
      <c r="H91" s="467">
        <v>0</v>
      </c>
      <c r="I91" s="467">
        <v>0</v>
      </c>
      <c r="J91" s="468">
        <f t="shared" si="19"/>
        <v>0</v>
      </c>
      <c r="K91" s="484"/>
      <c r="L91" s="485">
        <f t="shared" si="12"/>
        <v>0</v>
      </c>
      <c r="M91" s="484" t="s">
        <v>579</v>
      </c>
      <c r="N91" s="469">
        <v>3.6058989272000002</v>
      </c>
      <c r="O91" s="486">
        <f t="shared" si="13"/>
        <v>0</v>
      </c>
      <c r="P91" s="461"/>
      <c r="Q91" s="37">
        <v>0</v>
      </c>
      <c r="R91" s="469">
        <v>0.2036</v>
      </c>
      <c r="S91" s="486">
        <f t="shared" si="14"/>
        <v>0</v>
      </c>
      <c r="T91" s="461"/>
      <c r="U91" s="37">
        <v>0</v>
      </c>
      <c r="V91" s="469">
        <v>1.7611399999999999</v>
      </c>
      <c r="W91" s="487">
        <f t="shared" si="15"/>
        <v>0</v>
      </c>
      <c r="X91" s="457"/>
      <c r="Y91" s="488"/>
      <c r="Z91" s="463"/>
      <c r="AA91" s="488"/>
      <c r="AB91" s="463"/>
      <c r="AC91" s="488"/>
      <c r="AD91" s="457"/>
      <c r="AE91" s="489"/>
      <c r="AF91" s="490"/>
      <c r="AG91" s="476">
        <f t="shared" si="16"/>
        <v>0</v>
      </c>
      <c r="AH91" s="457"/>
      <c r="AI91" s="37">
        <v>0</v>
      </c>
      <c r="AJ91" s="469">
        <v>0.2036</v>
      </c>
      <c r="AK91" s="486">
        <f t="shared" si="17"/>
        <v>0</v>
      </c>
      <c r="AL91" s="457"/>
      <c r="AM91" s="477">
        <f t="shared" si="18"/>
        <v>0</v>
      </c>
      <c r="AN91" s="464"/>
      <c r="AO91" s="402"/>
      <c r="AP91" s="402"/>
      <c r="AQ91" s="402">
        <f t="shared" si="20"/>
        <v>0</v>
      </c>
      <c r="AR91" s="478"/>
    </row>
    <row r="92" spans="1:49" customFormat="1" ht="15" x14ac:dyDescent="0.25">
      <c r="A92" s="514" t="s">
        <v>1029</v>
      </c>
      <c r="B92" s="509"/>
      <c r="C92" s="509" t="s">
        <v>607</v>
      </c>
      <c r="D92" s="457"/>
      <c r="E92" s="482"/>
      <c r="F92" s="483"/>
      <c r="G92" s="467">
        <v>180</v>
      </c>
      <c r="H92" s="467">
        <v>210</v>
      </c>
      <c r="I92" s="467">
        <v>180</v>
      </c>
      <c r="J92" s="468">
        <f t="shared" si="19"/>
        <v>570</v>
      </c>
      <c r="K92" s="484"/>
      <c r="L92" s="485">
        <f t="shared" si="12"/>
        <v>570</v>
      </c>
      <c r="M92" s="484" t="s">
        <v>579</v>
      </c>
      <c r="N92" s="469">
        <v>3.6058989272000002</v>
      </c>
      <c r="O92" s="486">
        <f t="shared" si="13"/>
        <v>2055</v>
      </c>
      <c r="P92" s="461"/>
      <c r="Q92" s="37">
        <v>15</v>
      </c>
      <c r="R92" s="469">
        <v>0.2036</v>
      </c>
      <c r="S92" s="486">
        <f t="shared" si="14"/>
        <v>116.05200000000001</v>
      </c>
      <c r="T92" s="461"/>
      <c r="U92" s="37">
        <v>0.93137254901960786</v>
      </c>
      <c r="V92" s="469">
        <v>1.7611399999999999</v>
      </c>
      <c r="W92" s="487">
        <f t="shared" si="15"/>
        <v>62.330543137254899</v>
      </c>
      <c r="X92" s="457"/>
      <c r="Y92" s="488"/>
      <c r="Z92" s="463"/>
      <c r="AA92" s="488"/>
      <c r="AB92" s="463"/>
      <c r="AC92" s="488"/>
      <c r="AD92" s="457"/>
      <c r="AE92" s="489"/>
      <c r="AF92" s="490"/>
      <c r="AG92" s="476">
        <f t="shared" si="16"/>
        <v>0</v>
      </c>
      <c r="AH92" s="457"/>
      <c r="AI92" s="37">
        <v>15</v>
      </c>
      <c r="AJ92" s="469">
        <v>0.2036</v>
      </c>
      <c r="AK92" s="486">
        <f t="shared" si="17"/>
        <v>116.05200000000001</v>
      </c>
      <c r="AL92" s="457"/>
      <c r="AM92" s="477">
        <f t="shared" si="18"/>
        <v>2349.4345431372549</v>
      </c>
      <c r="AN92" s="464"/>
      <c r="AO92" s="402"/>
      <c r="AP92" s="402"/>
      <c r="AQ92" s="402">
        <f t="shared" si="20"/>
        <v>2349.4345431372549</v>
      </c>
      <c r="AR92" s="478"/>
    </row>
    <row r="93" spans="1:49" customFormat="1" ht="15" x14ac:dyDescent="0.25">
      <c r="A93" s="505" t="s">
        <v>904</v>
      </c>
      <c r="B93" s="503"/>
      <c r="C93" s="503">
        <v>205956</v>
      </c>
      <c r="D93" s="457"/>
      <c r="E93" s="482"/>
      <c r="F93" s="483"/>
      <c r="G93" s="467">
        <v>360</v>
      </c>
      <c r="H93" s="467">
        <v>0</v>
      </c>
      <c r="I93" s="467">
        <v>360</v>
      </c>
      <c r="J93" s="468">
        <f t="shared" si="19"/>
        <v>720</v>
      </c>
      <c r="K93" s="484"/>
      <c r="L93" s="485">
        <f t="shared" si="12"/>
        <v>720</v>
      </c>
      <c r="M93" s="484" t="s">
        <v>579</v>
      </c>
      <c r="N93" s="469">
        <v>3.6058989272000002</v>
      </c>
      <c r="O93" s="486">
        <f t="shared" si="13"/>
        <v>2596</v>
      </c>
      <c r="P93" s="461"/>
      <c r="Q93" s="37">
        <v>20.245263157894737</v>
      </c>
      <c r="R93" s="469">
        <v>0.2036</v>
      </c>
      <c r="S93" s="486">
        <f t="shared" si="14"/>
        <v>156.63355200000001</v>
      </c>
      <c r="T93" s="461"/>
      <c r="U93" s="37">
        <v>5.0613157894736842</v>
      </c>
      <c r="V93" s="469">
        <v>1.7611399999999999</v>
      </c>
      <c r="W93" s="487">
        <f t="shared" si="15"/>
        <v>338.72005619999999</v>
      </c>
      <c r="X93" s="457"/>
      <c r="Y93" s="488"/>
      <c r="Z93" s="463"/>
      <c r="AA93" s="488"/>
      <c r="AB93" s="463"/>
      <c r="AC93" s="488"/>
      <c r="AD93" s="457"/>
      <c r="AE93" s="489"/>
      <c r="AF93" s="490"/>
      <c r="AG93" s="476">
        <f t="shared" si="16"/>
        <v>0</v>
      </c>
      <c r="AH93" s="457"/>
      <c r="AI93" s="37">
        <v>0</v>
      </c>
      <c r="AJ93" s="469">
        <v>0.2036</v>
      </c>
      <c r="AK93" s="486">
        <f t="shared" si="17"/>
        <v>0</v>
      </c>
      <c r="AL93" s="457"/>
      <c r="AM93" s="477">
        <f t="shared" si="18"/>
        <v>3091.3536082000001</v>
      </c>
      <c r="AN93" s="464"/>
      <c r="AO93" s="402"/>
      <c r="AP93" s="402"/>
      <c r="AQ93" s="402">
        <f t="shared" si="20"/>
        <v>3091.3536082000001</v>
      </c>
      <c r="AR93" s="478"/>
    </row>
    <row r="94" spans="1:49" customFormat="1" ht="15" x14ac:dyDescent="0.25">
      <c r="A94" s="502" t="s">
        <v>1019</v>
      </c>
      <c r="B94" s="503"/>
      <c r="C94" s="494" t="s">
        <v>608</v>
      </c>
      <c r="D94" s="457"/>
      <c r="E94" s="482"/>
      <c r="F94" s="483"/>
      <c r="G94" s="467">
        <v>258</v>
      </c>
      <c r="H94" s="467">
        <v>115</v>
      </c>
      <c r="I94" s="467">
        <v>229</v>
      </c>
      <c r="J94" s="468">
        <f t="shared" si="19"/>
        <v>602</v>
      </c>
      <c r="K94" s="484"/>
      <c r="L94" s="485">
        <f t="shared" si="12"/>
        <v>602</v>
      </c>
      <c r="M94" s="484" t="s">
        <v>579</v>
      </c>
      <c r="N94" s="469">
        <v>3.6058989272000002</v>
      </c>
      <c r="O94" s="486">
        <f t="shared" si="13"/>
        <v>2171</v>
      </c>
      <c r="P94" s="461"/>
      <c r="Q94" s="37">
        <v>0</v>
      </c>
      <c r="R94" s="469">
        <v>0.2036</v>
      </c>
      <c r="S94" s="486">
        <f t="shared" si="14"/>
        <v>0</v>
      </c>
      <c r="T94" s="461"/>
      <c r="U94" s="37">
        <v>0</v>
      </c>
      <c r="V94" s="469">
        <v>1.7611399999999999</v>
      </c>
      <c r="W94" s="487">
        <f t="shared" si="15"/>
        <v>0</v>
      </c>
      <c r="X94" s="457"/>
      <c r="Y94" s="488"/>
      <c r="Z94" s="463"/>
      <c r="AA94" s="488"/>
      <c r="AB94" s="463"/>
      <c r="AC94" s="488"/>
      <c r="AD94" s="457"/>
      <c r="AE94" s="489"/>
      <c r="AF94" s="490"/>
      <c r="AG94" s="476">
        <f t="shared" si="16"/>
        <v>0</v>
      </c>
      <c r="AH94" s="457"/>
      <c r="AI94" s="37">
        <v>0</v>
      </c>
      <c r="AJ94" s="469">
        <v>0.2036</v>
      </c>
      <c r="AK94" s="486">
        <f t="shared" si="17"/>
        <v>0</v>
      </c>
      <c r="AL94" s="457"/>
      <c r="AM94" s="477">
        <f t="shared" si="18"/>
        <v>2171</v>
      </c>
      <c r="AN94" s="464"/>
      <c r="AO94" s="402"/>
      <c r="AP94" s="402"/>
      <c r="AQ94" s="402">
        <f t="shared" si="20"/>
        <v>2171</v>
      </c>
      <c r="AR94" s="478"/>
    </row>
    <row r="95" spans="1:49" customFormat="1" ht="15" x14ac:dyDescent="0.25">
      <c r="A95" s="517" t="s">
        <v>1020</v>
      </c>
      <c r="B95" s="518"/>
      <c r="C95" s="518" t="s">
        <v>609</v>
      </c>
      <c r="D95" s="457"/>
      <c r="E95" s="482"/>
      <c r="F95" s="483"/>
      <c r="G95" s="467">
        <v>180</v>
      </c>
      <c r="H95" s="467">
        <v>210</v>
      </c>
      <c r="I95" s="467">
        <v>180</v>
      </c>
      <c r="J95" s="468">
        <f t="shared" si="19"/>
        <v>570</v>
      </c>
      <c r="K95" s="484"/>
      <c r="L95" s="485">
        <f t="shared" si="12"/>
        <v>570</v>
      </c>
      <c r="M95" s="484" t="s">
        <v>579</v>
      </c>
      <c r="N95" s="469">
        <v>3.6058989272000002</v>
      </c>
      <c r="O95" s="486">
        <f t="shared" si="13"/>
        <v>2055</v>
      </c>
      <c r="P95" s="461"/>
      <c r="Q95" s="37">
        <v>15</v>
      </c>
      <c r="R95" s="469">
        <v>0.2036</v>
      </c>
      <c r="S95" s="486">
        <f t="shared" si="14"/>
        <v>116.05200000000001</v>
      </c>
      <c r="T95" s="461"/>
      <c r="U95" s="37">
        <v>0.93137254901960786</v>
      </c>
      <c r="V95" s="469">
        <v>1.7611399999999999</v>
      </c>
      <c r="W95" s="487">
        <f t="shared" si="15"/>
        <v>62.330543137254899</v>
      </c>
      <c r="X95" s="457"/>
      <c r="Y95" s="488"/>
      <c r="Z95" s="463"/>
      <c r="AA95" s="488"/>
      <c r="AB95" s="463"/>
      <c r="AC95" s="488"/>
      <c r="AD95" s="457"/>
      <c r="AE95" s="489"/>
      <c r="AF95" s="490"/>
      <c r="AG95" s="476">
        <f t="shared" si="16"/>
        <v>0</v>
      </c>
      <c r="AH95" s="457"/>
      <c r="AI95" s="37">
        <v>15</v>
      </c>
      <c r="AJ95" s="469">
        <v>0.2036</v>
      </c>
      <c r="AK95" s="486">
        <f t="shared" si="17"/>
        <v>116.05200000000001</v>
      </c>
      <c r="AL95" s="457"/>
      <c r="AM95" s="477">
        <f t="shared" si="18"/>
        <v>2349.4345431372549</v>
      </c>
      <c r="AN95" s="464"/>
      <c r="AO95" s="402"/>
      <c r="AP95" s="402"/>
      <c r="AQ95" s="402">
        <f t="shared" si="20"/>
        <v>2349.4345431372549</v>
      </c>
      <c r="AR95" s="478"/>
    </row>
    <row r="96" spans="1:49" customFormat="1" ht="15" x14ac:dyDescent="0.25">
      <c r="A96" s="510" t="s">
        <v>1021</v>
      </c>
      <c r="B96" s="503"/>
      <c r="C96" s="494" t="s">
        <v>610</v>
      </c>
      <c r="D96" s="457"/>
      <c r="E96" s="482"/>
      <c r="F96" s="483"/>
      <c r="G96" s="467">
        <v>180</v>
      </c>
      <c r="H96" s="467">
        <v>80</v>
      </c>
      <c r="I96" s="467">
        <v>160</v>
      </c>
      <c r="J96" s="468">
        <f t="shared" si="19"/>
        <v>420</v>
      </c>
      <c r="K96" s="484"/>
      <c r="L96" s="485">
        <f t="shared" si="12"/>
        <v>420</v>
      </c>
      <c r="M96" s="484" t="s">
        <v>579</v>
      </c>
      <c r="N96" s="469">
        <v>3.6058989272000002</v>
      </c>
      <c r="O96" s="486">
        <f t="shared" si="13"/>
        <v>1514</v>
      </c>
      <c r="P96" s="461"/>
      <c r="Q96" s="37">
        <v>0</v>
      </c>
      <c r="R96" s="469"/>
      <c r="S96" s="486">
        <f t="shared" si="14"/>
        <v>0</v>
      </c>
      <c r="T96" s="461"/>
      <c r="U96" s="37">
        <v>0</v>
      </c>
      <c r="V96" s="469">
        <v>1.7611399999999999</v>
      </c>
      <c r="W96" s="487">
        <f t="shared" si="15"/>
        <v>0</v>
      </c>
      <c r="X96" s="457"/>
      <c r="Y96" s="488"/>
      <c r="Z96" s="463"/>
      <c r="AA96" s="488"/>
      <c r="AB96" s="463"/>
      <c r="AC96" s="488"/>
      <c r="AD96" s="457"/>
      <c r="AE96" s="489"/>
      <c r="AF96" s="490"/>
      <c r="AG96" s="476">
        <f t="shared" si="16"/>
        <v>0</v>
      </c>
      <c r="AH96" s="457"/>
      <c r="AI96" s="37">
        <v>0</v>
      </c>
      <c r="AJ96" s="469">
        <v>0.2036</v>
      </c>
      <c r="AK96" s="486">
        <f t="shared" si="17"/>
        <v>0</v>
      </c>
      <c r="AL96" s="457"/>
      <c r="AM96" s="477">
        <f t="shared" si="18"/>
        <v>1514</v>
      </c>
      <c r="AN96" s="464"/>
      <c r="AO96" s="402"/>
      <c r="AP96" s="402"/>
      <c r="AQ96" s="402">
        <f t="shared" si="20"/>
        <v>1514</v>
      </c>
      <c r="AR96" s="478"/>
    </row>
    <row r="97" spans="1:49" customFormat="1" ht="15" x14ac:dyDescent="0.25">
      <c r="A97" s="515" t="s">
        <v>1022</v>
      </c>
      <c r="B97" s="503"/>
      <c r="C97" s="503" t="s">
        <v>611</v>
      </c>
      <c r="D97" s="457"/>
      <c r="E97" s="482"/>
      <c r="F97" s="483"/>
      <c r="G97" s="467">
        <v>360</v>
      </c>
      <c r="H97" s="467">
        <v>210</v>
      </c>
      <c r="I97" s="467">
        <v>258</v>
      </c>
      <c r="J97" s="468">
        <f t="shared" si="19"/>
        <v>828</v>
      </c>
      <c r="K97" s="484"/>
      <c r="L97" s="485">
        <f t="shared" si="12"/>
        <v>828</v>
      </c>
      <c r="M97" s="484" t="s">
        <v>579</v>
      </c>
      <c r="N97" s="469">
        <v>3.6058989272000002</v>
      </c>
      <c r="O97" s="486">
        <f t="shared" si="13"/>
        <v>2986</v>
      </c>
      <c r="P97" s="461"/>
      <c r="Q97" s="37">
        <v>10.966184210526317</v>
      </c>
      <c r="R97" s="469">
        <v>0.2036</v>
      </c>
      <c r="S97" s="486">
        <f t="shared" si="14"/>
        <v>84.843174000000005</v>
      </c>
      <c r="T97" s="461"/>
      <c r="U97" s="37">
        <v>0</v>
      </c>
      <c r="V97" s="469">
        <v>1.7611399999999999</v>
      </c>
      <c r="W97" s="487">
        <f t="shared" si="15"/>
        <v>0</v>
      </c>
      <c r="X97" s="457"/>
      <c r="Y97" s="488"/>
      <c r="Z97" s="463"/>
      <c r="AA97" s="488"/>
      <c r="AB97" s="463"/>
      <c r="AC97" s="488"/>
      <c r="AD97" s="457"/>
      <c r="AE97" s="489"/>
      <c r="AF97" s="490"/>
      <c r="AG97" s="476">
        <f t="shared" si="16"/>
        <v>0</v>
      </c>
      <c r="AH97" s="457"/>
      <c r="AI97" s="37">
        <v>0</v>
      </c>
      <c r="AJ97" s="469">
        <v>0.2036</v>
      </c>
      <c r="AK97" s="486">
        <f t="shared" si="17"/>
        <v>0</v>
      </c>
      <c r="AL97" s="457"/>
      <c r="AM97" s="477">
        <f t="shared" si="18"/>
        <v>3070.8431740000001</v>
      </c>
      <c r="AN97" s="464"/>
      <c r="AO97" s="402"/>
      <c r="AP97" s="402"/>
      <c r="AQ97" s="402">
        <f t="shared" si="20"/>
        <v>3070.8431740000001</v>
      </c>
      <c r="AR97" s="478"/>
    </row>
    <row r="98" spans="1:49" customFormat="1" ht="15" x14ac:dyDescent="0.25">
      <c r="A98" s="505" t="s">
        <v>905</v>
      </c>
      <c r="B98" s="503"/>
      <c r="C98" s="503" t="s">
        <v>612</v>
      </c>
      <c r="D98" s="457"/>
      <c r="E98" s="482"/>
      <c r="F98" s="483"/>
      <c r="G98" s="467">
        <v>0</v>
      </c>
      <c r="H98" s="467">
        <v>0</v>
      </c>
      <c r="I98" s="467">
        <v>0</v>
      </c>
      <c r="J98" s="468">
        <f t="shared" si="19"/>
        <v>0</v>
      </c>
      <c r="K98" s="484"/>
      <c r="L98" s="485">
        <f t="shared" si="12"/>
        <v>0</v>
      </c>
      <c r="M98" s="484" t="s">
        <v>579</v>
      </c>
      <c r="N98" s="469">
        <v>3.6058989272000002</v>
      </c>
      <c r="O98" s="486">
        <f t="shared" si="13"/>
        <v>0</v>
      </c>
      <c r="P98" s="461"/>
      <c r="Q98" s="37">
        <v>0</v>
      </c>
      <c r="R98" s="469">
        <v>0.2036</v>
      </c>
      <c r="S98" s="486">
        <f t="shared" si="14"/>
        <v>0</v>
      </c>
      <c r="T98" s="461"/>
      <c r="U98" s="37">
        <v>0</v>
      </c>
      <c r="V98" s="469">
        <v>1.7611399999999999</v>
      </c>
      <c r="W98" s="487">
        <f t="shared" si="15"/>
        <v>0</v>
      </c>
      <c r="X98" s="457"/>
      <c r="Y98" s="488"/>
      <c r="Z98" s="463"/>
      <c r="AA98" s="488"/>
      <c r="AB98" s="463"/>
      <c r="AC98" s="488"/>
      <c r="AD98" s="457"/>
      <c r="AE98" s="489"/>
      <c r="AF98" s="490"/>
      <c r="AG98" s="476">
        <f t="shared" si="16"/>
        <v>0</v>
      </c>
      <c r="AH98" s="457"/>
      <c r="AI98" s="37">
        <v>0</v>
      </c>
      <c r="AJ98" s="469">
        <v>0.2036</v>
      </c>
      <c r="AK98" s="486">
        <f t="shared" si="17"/>
        <v>0</v>
      </c>
      <c r="AL98" s="457"/>
      <c r="AM98" s="477">
        <f t="shared" si="18"/>
        <v>0</v>
      </c>
      <c r="AN98" s="464"/>
      <c r="AO98" s="402"/>
      <c r="AP98" s="402"/>
      <c r="AQ98" s="402">
        <f t="shared" si="20"/>
        <v>0</v>
      </c>
      <c r="AR98" s="478"/>
    </row>
    <row r="99" spans="1:49" customFormat="1" ht="15" x14ac:dyDescent="0.25">
      <c r="A99" s="506" t="s">
        <v>907</v>
      </c>
      <c r="B99" s="503"/>
      <c r="C99" s="503" t="s">
        <v>613</v>
      </c>
      <c r="D99" s="457"/>
      <c r="E99" s="482"/>
      <c r="F99" s="483"/>
      <c r="G99" s="467">
        <v>180</v>
      </c>
      <c r="H99" s="467">
        <v>0</v>
      </c>
      <c r="I99" s="467">
        <v>180</v>
      </c>
      <c r="J99" s="468">
        <f t="shared" si="19"/>
        <v>360</v>
      </c>
      <c r="K99" s="484"/>
      <c r="L99" s="485">
        <f t="shared" si="12"/>
        <v>360</v>
      </c>
      <c r="M99" s="484" t="s">
        <v>579</v>
      </c>
      <c r="N99" s="469">
        <v>3.6058989272000002</v>
      </c>
      <c r="O99" s="486">
        <f t="shared" si="13"/>
        <v>1298</v>
      </c>
      <c r="P99" s="461"/>
      <c r="Q99" s="37">
        <v>15.183947368421052</v>
      </c>
      <c r="R99" s="469">
        <v>0.2036</v>
      </c>
      <c r="S99" s="486">
        <f t="shared" si="14"/>
        <v>117.47516399999999</v>
      </c>
      <c r="T99" s="461"/>
      <c r="U99" s="37">
        <v>0</v>
      </c>
      <c r="V99" s="469">
        <v>1.7611399999999999</v>
      </c>
      <c r="W99" s="487">
        <f t="shared" si="15"/>
        <v>0</v>
      </c>
      <c r="X99" s="457"/>
      <c r="Y99" s="488"/>
      <c r="Z99" s="463"/>
      <c r="AA99" s="488"/>
      <c r="AB99" s="463"/>
      <c r="AC99" s="488"/>
      <c r="AD99" s="457"/>
      <c r="AE99" s="489"/>
      <c r="AF99" s="490"/>
      <c r="AG99" s="476">
        <f t="shared" si="16"/>
        <v>0</v>
      </c>
      <c r="AH99" s="457"/>
      <c r="AI99" s="37">
        <v>0</v>
      </c>
      <c r="AJ99" s="469">
        <v>0.2036</v>
      </c>
      <c r="AK99" s="486">
        <f t="shared" si="17"/>
        <v>0</v>
      </c>
      <c r="AL99" s="457"/>
      <c r="AM99" s="477">
        <f t="shared" si="18"/>
        <v>1415.4751639999999</v>
      </c>
      <c r="AN99" s="464"/>
      <c r="AO99" s="402"/>
      <c r="AP99" s="402"/>
      <c r="AQ99" s="402">
        <f t="shared" si="20"/>
        <v>1415.4751639999999</v>
      </c>
      <c r="AR99" s="478"/>
    </row>
    <row r="100" spans="1:49" customFormat="1" ht="15" x14ac:dyDescent="0.25">
      <c r="A100" s="510" t="s">
        <v>1023</v>
      </c>
      <c r="B100" s="503"/>
      <c r="C100" s="516" t="s">
        <v>614</v>
      </c>
      <c r="D100" s="457"/>
      <c r="E100" s="482"/>
      <c r="F100" s="483"/>
      <c r="G100" s="467">
        <v>180</v>
      </c>
      <c r="H100" s="467">
        <v>80</v>
      </c>
      <c r="I100" s="467">
        <v>160</v>
      </c>
      <c r="J100" s="468">
        <f t="shared" si="19"/>
        <v>420</v>
      </c>
      <c r="K100" s="484"/>
      <c r="L100" s="485">
        <f t="shared" si="12"/>
        <v>420</v>
      </c>
      <c r="M100" s="484" t="s">
        <v>579</v>
      </c>
      <c r="N100" s="469">
        <v>3.6058989272000002</v>
      </c>
      <c r="O100" s="486">
        <f t="shared" si="13"/>
        <v>1514</v>
      </c>
      <c r="P100" s="461"/>
      <c r="Q100" s="37">
        <v>0</v>
      </c>
      <c r="R100" s="469"/>
      <c r="S100" s="486">
        <f t="shared" si="14"/>
        <v>0</v>
      </c>
      <c r="T100" s="461"/>
      <c r="U100" s="37">
        <v>0</v>
      </c>
      <c r="V100" s="469">
        <v>1.7611399999999999</v>
      </c>
      <c r="W100" s="487">
        <f t="shared" si="15"/>
        <v>0</v>
      </c>
      <c r="X100" s="457"/>
      <c r="Y100" s="488"/>
      <c r="Z100" s="463"/>
      <c r="AA100" s="488"/>
      <c r="AB100" s="463"/>
      <c r="AC100" s="488"/>
      <c r="AD100" s="457"/>
      <c r="AE100" s="489"/>
      <c r="AF100" s="490"/>
      <c r="AG100" s="476">
        <f t="shared" si="16"/>
        <v>0</v>
      </c>
      <c r="AH100" s="457"/>
      <c r="AI100" s="37">
        <v>0</v>
      </c>
      <c r="AJ100" s="469">
        <v>0.2036</v>
      </c>
      <c r="AK100" s="486">
        <f t="shared" si="17"/>
        <v>0</v>
      </c>
      <c r="AL100" s="457"/>
      <c r="AM100" s="477">
        <f t="shared" si="18"/>
        <v>1514</v>
      </c>
      <c r="AN100" s="464"/>
      <c r="AO100" s="402"/>
      <c r="AP100" s="402"/>
      <c r="AQ100" s="402">
        <f t="shared" si="20"/>
        <v>1514</v>
      </c>
      <c r="AR100" s="478"/>
    </row>
    <row r="101" spans="1:49" customFormat="1" ht="15" x14ac:dyDescent="0.25">
      <c r="A101" s="506" t="s">
        <v>906</v>
      </c>
      <c r="B101" s="503"/>
      <c r="C101" s="503" t="s">
        <v>615</v>
      </c>
      <c r="D101" s="457"/>
      <c r="E101" s="482"/>
      <c r="F101" s="483"/>
      <c r="G101" s="467">
        <v>360</v>
      </c>
      <c r="H101" s="467">
        <v>0</v>
      </c>
      <c r="I101" s="467">
        <v>360</v>
      </c>
      <c r="J101" s="468">
        <f t="shared" si="19"/>
        <v>720</v>
      </c>
      <c r="K101" s="484"/>
      <c r="L101" s="485">
        <f t="shared" si="12"/>
        <v>720</v>
      </c>
      <c r="M101" s="484" t="s">
        <v>579</v>
      </c>
      <c r="N101" s="469">
        <v>3.6058989272000002</v>
      </c>
      <c r="O101" s="486">
        <f t="shared" si="13"/>
        <v>2596</v>
      </c>
      <c r="P101" s="461"/>
      <c r="Q101" s="37">
        <v>15.183947368421052</v>
      </c>
      <c r="R101" s="469">
        <v>0.2036</v>
      </c>
      <c r="S101" s="486">
        <f t="shared" si="14"/>
        <v>117.47516399999999</v>
      </c>
      <c r="T101" s="461"/>
      <c r="U101" s="37">
        <v>5.0613157894736842</v>
      </c>
      <c r="V101" s="469">
        <v>1.7611399999999999</v>
      </c>
      <c r="W101" s="487">
        <f t="shared" si="15"/>
        <v>338.72005619999999</v>
      </c>
      <c r="X101" s="457"/>
      <c r="Y101" s="488"/>
      <c r="Z101" s="463"/>
      <c r="AA101" s="488"/>
      <c r="AB101" s="463"/>
      <c r="AC101" s="488"/>
      <c r="AD101" s="457"/>
      <c r="AE101" s="489"/>
      <c r="AF101" s="490"/>
      <c r="AG101" s="476">
        <f t="shared" si="16"/>
        <v>0</v>
      </c>
      <c r="AH101" s="457"/>
      <c r="AI101" s="37">
        <v>0</v>
      </c>
      <c r="AJ101" s="469">
        <v>0.2036</v>
      </c>
      <c r="AK101" s="486">
        <f t="shared" si="17"/>
        <v>0</v>
      </c>
      <c r="AL101" s="457"/>
      <c r="AM101" s="477">
        <f t="shared" si="18"/>
        <v>3052.1952202000002</v>
      </c>
      <c r="AN101" s="464"/>
      <c r="AO101" s="402"/>
      <c r="AP101" s="402"/>
      <c r="AQ101" s="402">
        <f t="shared" si="20"/>
        <v>3052.1952202000002</v>
      </c>
      <c r="AR101" s="478"/>
    </row>
    <row r="102" spans="1:49" customFormat="1" ht="15" x14ac:dyDescent="0.25">
      <c r="A102" s="515" t="s">
        <v>1024</v>
      </c>
      <c r="B102" s="503"/>
      <c r="C102" s="503">
        <v>206043</v>
      </c>
      <c r="D102" s="457"/>
      <c r="E102" s="482"/>
      <c r="F102" s="483"/>
      <c r="G102" s="467">
        <v>360</v>
      </c>
      <c r="H102" s="467">
        <v>0</v>
      </c>
      <c r="I102" s="467">
        <v>72</v>
      </c>
      <c r="J102" s="468">
        <f t="shared" si="19"/>
        <v>432</v>
      </c>
      <c r="K102" s="484"/>
      <c r="L102" s="485">
        <f t="shared" si="12"/>
        <v>432</v>
      </c>
      <c r="M102" s="484" t="s">
        <v>579</v>
      </c>
      <c r="N102" s="469">
        <v>3.6058989272000002</v>
      </c>
      <c r="O102" s="486">
        <f t="shared" si="13"/>
        <v>1558</v>
      </c>
      <c r="P102" s="461"/>
      <c r="Q102" s="37">
        <v>10.122631578947368</v>
      </c>
      <c r="R102" s="469">
        <v>0.2036</v>
      </c>
      <c r="S102" s="486">
        <f t="shared" si="14"/>
        <v>78.316776000000004</v>
      </c>
      <c r="T102" s="461"/>
      <c r="U102" s="37">
        <v>0</v>
      </c>
      <c r="V102" s="469">
        <v>1.7611399999999999</v>
      </c>
      <c r="W102" s="487">
        <f t="shared" si="15"/>
        <v>0</v>
      </c>
      <c r="X102" s="457"/>
      <c r="Y102" s="488"/>
      <c r="Z102" s="463"/>
      <c r="AA102" s="488"/>
      <c r="AB102" s="463"/>
      <c r="AC102" s="488"/>
      <c r="AD102" s="457"/>
      <c r="AE102" s="489"/>
      <c r="AF102" s="490"/>
      <c r="AG102" s="476">
        <f t="shared" si="16"/>
        <v>0</v>
      </c>
      <c r="AH102" s="457"/>
      <c r="AI102" s="37">
        <v>0</v>
      </c>
      <c r="AJ102" s="469">
        <v>0.2036</v>
      </c>
      <c r="AK102" s="486">
        <f t="shared" si="17"/>
        <v>0</v>
      </c>
      <c r="AL102" s="457"/>
      <c r="AM102" s="477">
        <f t="shared" si="18"/>
        <v>1636.3167760000001</v>
      </c>
      <c r="AN102" s="464"/>
      <c r="AO102" s="402"/>
      <c r="AP102" s="402"/>
      <c r="AQ102" s="402">
        <f t="shared" si="20"/>
        <v>1636.3167760000001</v>
      </c>
      <c r="AR102" s="478"/>
    </row>
    <row r="103" spans="1:49" customFormat="1" ht="15" x14ac:dyDescent="0.25">
      <c r="A103" s="512" t="s">
        <v>1030</v>
      </c>
      <c r="B103" s="519"/>
      <c r="C103" s="519" t="s">
        <v>616</v>
      </c>
      <c r="D103" s="457"/>
      <c r="E103" s="482"/>
      <c r="F103" s="483"/>
      <c r="G103" s="467">
        <v>360</v>
      </c>
      <c r="H103" s="467">
        <v>420</v>
      </c>
      <c r="I103" s="467">
        <v>360</v>
      </c>
      <c r="J103" s="468">
        <f t="shared" si="19"/>
        <v>1140</v>
      </c>
      <c r="K103" s="484"/>
      <c r="L103" s="485">
        <f t="shared" si="12"/>
        <v>1140</v>
      </c>
      <c r="M103" s="484" t="s">
        <v>579</v>
      </c>
      <c r="N103" s="469">
        <v>3.6058989272000002</v>
      </c>
      <c r="O103" s="486">
        <f t="shared" si="13"/>
        <v>4111</v>
      </c>
      <c r="P103" s="461"/>
      <c r="Q103" s="37">
        <v>30</v>
      </c>
      <c r="R103" s="469">
        <v>0.2036</v>
      </c>
      <c r="S103" s="486">
        <f t="shared" si="14"/>
        <v>232.10400000000001</v>
      </c>
      <c r="T103" s="461"/>
      <c r="U103" s="37">
        <v>1.8627450980392157</v>
      </c>
      <c r="V103" s="469">
        <v>1.7611399999999999</v>
      </c>
      <c r="W103" s="487">
        <f t="shared" si="15"/>
        <v>124.6610862745098</v>
      </c>
      <c r="X103" s="457"/>
      <c r="Y103" s="488"/>
      <c r="Z103" s="463"/>
      <c r="AA103" s="488"/>
      <c r="AB103" s="463"/>
      <c r="AC103" s="488"/>
      <c r="AD103" s="457"/>
      <c r="AE103" s="489"/>
      <c r="AF103" s="490"/>
      <c r="AG103" s="476">
        <f t="shared" si="16"/>
        <v>0</v>
      </c>
      <c r="AH103" s="457"/>
      <c r="AI103" s="37">
        <v>30</v>
      </c>
      <c r="AJ103" s="469">
        <v>0.2036</v>
      </c>
      <c r="AK103" s="486">
        <f t="shared" si="17"/>
        <v>232.10400000000001</v>
      </c>
      <c r="AL103" s="457"/>
      <c r="AM103" s="477">
        <f t="shared" si="18"/>
        <v>4699.8690862745098</v>
      </c>
      <c r="AN103" s="464"/>
      <c r="AO103" s="402"/>
      <c r="AP103" s="402"/>
      <c r="AQ103" s="402">
        <f t="shared" si="20"/>
        <v>4699.8690862745098</v>
      </c>
      <c r="AR103" s="478"/>
    </row>
    <row r="104" spans="1:49" customFormat="1" ht="15" x14ac:dyDescent="0.25">
      <c r="A104" s="505" t="s">
        <v>1031</v>
      </c>
      <c r="B104" s="503"/>
      <c r="C104" s="503" t="s">
        <v>617</v>
      </c>
      <c r="D104" s="457"/>
      <c r="E104" s="482"/>
      <c r="F104" s="483"/>
      <c r="G104" s="467">
        <v>0</v>
      </c>
      <c r="H104" s="467">
        <v>0</v>
      </c>
      <c r="I104" s="467">
        <v>0</v>
      </c>
      <c r="J104" s="468">
        <f t="shared" si="19"/>
        <v>0</v>
      </c>
      <c r="K104" s="484"/>
      <c r="L104" s="485">
        <f t="shared" si="12"/>
        <v>0</v>
      </c>
      <c r="M104" s="484" t="s">
        <v>579</v>
      </c>
      <c r="N104" s="469">
        <v>3.6058989272000002</v>
      </c>
      <c r="O104" s="486">
        <f t="shared" si="13"/>
        <v>0</v>
      </c>
      <c r="P104" s="461"/>
      <c r="Q104" s="37">
        <v>0</v>
      </c>
      <c r="R104" s="469">
        <v>0.2036</v>
      </c>
      <c r="S104" s="486">
        <f t="shared" si="14"/>
        <v>0</v>
      </c>
      <c r="T104" s="461"/>
      <c r="U104" s="37">
        <v>0</v>
      </c>
      <c r="V104" s="469">
        <v>1.7611399999999999</v>
      </c>
      <c r="W104" s="487">
        <f t="shared" si="15"/>
        <v>0</v>
      </c>
      <c r="X104" s="457"/>
      <c r="Y104" s="488"/>
      <c r="Z104" s="463"/>
      <c r="AA104" s="488"/>
      <c r="AB104" s="463"/>
      <c r="AC104" s="488"/>
      <c r="AD104" s="457"/>
      <c r="AE104" s="489"/>
      <c r="AF104" s="490"/>
      <c r="AG104" s="476">
        <f t="shared" si="16"/>
        <v>0</v>
      </c>
      <c r="AH104" s="457"/>
      <c r="AI104" s="37">
        <v>0</v>
      </c>
      <c r="AJ104" s="469">
        <v>0.2036</v>
      </c>
      <c r="AK104" s="486">
        <f t="shared" si="17"/>
        <v>0</v>
      </c>
      <c r="AL104" s="457"/>
      <c r="AM104" s="477">
        <f t="shared" si="18"/>
        <v>0</v>
      </c>
      <c r="AN104" s="464"/>
      <c r="AO104" s="402"/>
      <c r="AP104" s="402"/>
      <c r="AQ104" s="402">
        <f t="shared" si="20"/>
        <v>0</v>
      </c>
      <c r="AR104" s="478"/>
    </row>
    <row r="105" spans="1:49" customFormat="1" ht="15" x14ac:dyDescent="0.25">
      <c r="A105" s="513" t="s">
        <v>909</v>
      </c>
      <c r="B105" s="503"/>
      <c r="C105" s="503" t="s">
        <v>618</v>
      </c>
      <c r="D105" s="457"/>
      <c r="E105" s="482"/>
      <c r="F105" s="483"/>
      <c r="G105" s="467">
        <v>0</v>
      </c>
      <c r="H105" s="467">
        <v>0</v>
      </c>
      <c r="I105" s="467">
        <v>0</v>
      </c>
      <c r="J105" s="468">
        <f t="shared" si="19"/>
        <v>0</v>
      </c>
      <c r="K105" s="484"/>
      <c r="L105" s="485">
        <f t="shared" si="12"/>
        <v>0</v>
      </c>
      <c r="M105" s="484" t="s">
        <v>579</v>
      </c>
      <c r="N105" s="469">
        <v>3.6058989272000002</v>
      </c>
      <c r="O105" s="486">
        <f t="shared" si="13"/>
        <v>0</v>
      </c>
      <c r="P105" s="461"/>
      <c r="Q105" s="37">
        <v>0</v>
      </c>
      <c r="R105" s="469">
        <v>0.2036</v>
      </c>
      <c r="S105" s="486">
        <f t="shared" si="14"/>
        <v>0</v>
      </c>
      <c r="T105" s="461"/>
      <c r="U105" s="37">
        <v>0</v>
      </c>
      <c r="V105" s="469">
        <v>1.7611399999999999</v>
      </c>
      <c r="W105" s="487">
        <f t="shared" si="15"/>
        <v>0</v>
      </c>
      <c r="X105" s="457"/>
      <c r="Y105" s="488"/>
      <c r="Z105" s="463"/>
      <c r="AA105" s="488"/>
      <c r="AB105" s="463"/>
      <c r="AC105" s="488"/>
      <c r="AD105" s="457"/>
      <c r="AE105" s="489"/>
      <c r="AF105" s="490"/>
      <c r="AG105" s="476">
        <f t="shared" si="16"/>
        <v>0</v>
      </c>
      <c r="AH105" s="457"/>
      <c r="AI105" s="37">
        <v>0</v>
      </c>
      <c r="AJ105" s="469">
        <v>0.2036</v>
      </c>
      <c r="AK105" s="486">
        <f t="shared" si="17"/>
        <v>0</v>
      </c>
      <c r="AL105" s="457"/>
      <c r="AM105" s="477">
        <f t="shared" si="18"/>
        <v>0</v>
      </c>
      <c r="AN105" s="464"/>
      <c r="AO105" s="402"/>
      <c r="AP105" s="402"/>
      <c r="AQ105" s="402">
        <f t="shared" si="20"/>
        <v>0</v>
      </c>
      <c r="AR105" s="478"/>
      <c r="AV105" s="29"/>
      <c r="AW105" s="29"/>
    </row>
    <row r="106" spans="1:49" customFormat="1" ht="15" x14ac:dyDescent="0.25">
      <c r="A106" s="520" t="s">
        <v>910</v>
      </c>
      <c r="B106" s="521"/>
      <c r="C106" s="521" t="s">
        <v>619</v>
      </c>
      <c r="D106" s="457"/>
      <c r="E106" s="482"/>
      <c r="F106" s="483"/>
      <c r="G106" s="467">
        <v>540</v>
      </c>
      <c r="H106" s="467">
        <v>210</v>
      </c>
      <c r="I106" s="467">
        <v>720</v>
      </c>
      <c r="J106" s="468">
        <f t="shared" si="19"/>
        <v>1470</v>
      </c>
      <c r="K106" s="484"/>
      <c r="L106" s="485">
        <f t="shared" si="12"/>
        <v>1470</v>
      </c>
      <c r="M106" s="484" t="s">
        <v>579</v>
      </c>
      <c r="N106" s="469">
        <v>3.6058989272000002</v>
      </c>
      <c r="O106" s="486">
        <f t="shared" si="13"/>
        <v>5301</v>
      </c>
      <c r="P106" s="461"/>
      <c r="Q106" s="37">
        <v>53.143815789473678</v>
      </c>
      <c r="R106" s="469">
        <v>0.2036</v>
      </c>
      <c r="S106" s="486">
        <f t="shared" si="14"/>
        <v>411.16307399999994</v>
      </c>
      <c r="T106" s="461"/>
      <c r="U106" s="37">
        <v>5.0613157894736842</v>
      </c>
      <c r="V106" s="469">
        <v>1.7611399999999999</v>
      </c>
      <c r="W106" s="487">
        <f t="shared" si="15"/>
        <v>338.72005619999999</v>
      </c>
      <c r="X106" s="457"/>
      <c r="Y106" s="488"/>
      <c r="Z106" s="463"/>
      <c r="AA106" s="488"/>
      <c r="AB106" s="463"/>
      <c r="AC106" s="488"/>
      <c r="AD106" s="457"/>
      <c r="AE106" s="489"/>
      <c r="AF106" s="490"/>
      <c r="AG106" s="476">
        <f t="shared" si="16"/>
        <v>0</v>
      </c>
      <c r="AH106" s="457"/>
      <c r="AI106" s="37">
        <v>5.9048684210526314</v>
      </c>
      <c r="AJ106" s="469">
        <v>0.2036</v>
      </c>
      <c r="AK106" s="486">
        <f t="shared" si="17"/>
        <v>45.684786000000003</v>
      </c>
      <c r="AL106" s="457"/>
      <c r="AM106" s="477">
        <f t="shared" si="18"/>
        <v>6096.5679161999997</v>
      </c>
      <c r="AN106" s="464"/>
      <c r="AO106" s="402"/>
      <c r="AP106" s="402"/>
      <c r="AQ106" s="402">
        <f t="shared" si="20"/>
        <v>6096.5679161999997</v>
      </c>
      <c r="AR106" s="478"/>
    </row>
    <row r="107" spans="1:49" customFormat="1" ht="15" x14ac:dyDescent="0.25">
      <c r="A107" s="522" t="s">
        <v>911</v>
      </c>
      <c r="B107" s="523"/>
      <c r="C107" s="523" t="s">
        <v>620</v>
      </c>
      <c r="D107" s="457"/>
      <c r="E107" s="482"/>
      <c r="F107" s="483"/>
      <c r="G107" s="467">
        <v>0</v>
      </c>
      <c r="H107" s="467">
        <v>0</v>
      </c>
      <c r="I107" s="467">
        <v>0</v>
      </c>
      <c r="J107" s="468">
        <f t="shared" si="19"/>
        <v>0</v>
      </c>
      <c r="K107" s="484"/>
      <c r="L107" s="485">
        <f t="shared" si="12"/>
        <v>0</v>
      </c>
      <c r="M107" s="484" t="s">
        <v>579</v>
      </c>
      <c r="N107" s="469">
        <v>3.6058989272000002</v>
      </c>
      <c r="O107" s="486">
        <f t="shared" si="13"/>
        <v>0</v>
      </c>
      <c r="P107" s="461"/>
      <c r="Q107" s="37">
        <v>0</v>
      </c>
      <c r="R107" s="469">
        <v>0.2036</v>
      </c>
      <c r="S107" s="486">
        <f t="shared" si="14"/>
        <v>0</v>
      </c>
      <c r="T107" s="461"/>
      <c r="U107" s="37">
        <v>0</v>
      </c>
      <c r="V107" s="469">
        <v>1.7611399999999999</v>
      </c>
      <c r="W107" s="487">
        <f t="shared" si="15"/>
        <v>0</v>
      </c>
      <c r="X107" s="457"/>
      <c r="Y107" s="488"/>
      <c r="Z107" s="463"/>
      <c r="AA107" s="488"/>
      <c r="AB107" s="463"/>
      <c r="AC107" s="488"/>
      <c r="AD107" s="457"/>
      <c r="AE107" s="489"/>
      <c r="AF107" s="490"/>
      <c r="AG107" s="476">
        <f t="shared" si="16"/>
        <v>0</v>
      </c>
      <c r="AH107" s="457"/>
      <c r="AI107" s="37">
        <v>0</v>
      </c>
      <c r="AJ107" s="469">
        <v>0.2036</v>
      </c>
      <c r="AK107" s="486">
        <f t="shared" si="17"/>
        <v>0</v>
      </c>
      <c r="AL107" s="457"/>
      <c r="AM107" s="477">
        <f t="shared" si="18"/>
        <v>0</v>
      </c>
      <c r="AN107" s="464"/>
      <c r="AO107" s="402"/>
      <c r="AP107" s="402"/>
      <c r="AQ107" s="402">
        <f t="shared" si="20"/>
        <v>0</v>
      </c>
      <c r="AR107" s="478"/>
    </row>
    <row r="108" spans="1:49" customFormat="1" ht="15" x14ac:dyDescent="0.25">
      <c r="A108" s="524" t="s">
        <v>621</v>
      </c>
      <c r="B108" s="504"/>
      <c r="C108" s="504" t="s">
        <v>622</v>
      </c>
      <c r="D108" s="457"/>
      <c r="E108" s="482"/>
      <c r="F108" s="483"/>
      <c r="G108" s="467">
        <v>6660</v>
      </c>
      <c r="H108" s="467">
        <v>11970</v>
      </c>
      <c r="I108" s="467">
        <v>7740</v>
      </c>
      <c r="J108" s="468">
        <f t="shared" si="19"/>
        <v>26370</v>
      </c>
      <c r="K108" s="484"/>
      <c r="L108" s="485">
        <f t="shared" si="12"/>
        <v>26370</v>
      </c>
      <c r="M108" s="484" t="s">
        <v>579</v>
      </c>
      <c r="N108" s="469">
        <v>3.6058989272000002</v>
      </c>
      <c r="O108" s="486">
        <f t="shared" si="13"/>
        <v>95088</v>
      </c>
      <c r="P108" s="461"/>
      <c r="Q108" s="37">
        <v>83.933486842105268</v>
      </c>
      <c r="R108" s="469">
        <v>0.2036</v>
      </c>
      <c r="S108" s="486">
        <f t="shared" si="14"/>
        <v>649.37660100000005</v>
      </c>
      <c r="T108" s="461"/>
      <c r="U108" s="37">
        <v>0</v>
      </c>
      <c r="V108" s="469">
        <v>1.7611399999999999</v>
      </c>
      <c r="W108" s="487">
        <f t="shared" si="15"/>
        <v>0</v>
      </c>
      <c r="X108" s="457"/>
      <c r="Y108" s="488"/>
      <c r="Z108" s="463"/>
      <c r="AA108" s="488"/>
      <c r="AB108" s="463"/>
      <c r="AC108" s="488"/>
      <c r="AD108" s="457"/>
      <c r="AE108" s="489"/>
      <c r="AF108" s="490"/>
      <c r="AG108" s="476">
        <f t="shared" si="16"/>
        <v>0</v>
      </c>
      <c r="AH108" s="457"/>
      <c r="AI108" s="37">
        <v>30.367894736842107</v>
      </c>
      <c r="AJ108" s="469">
        <v>0.2036</v>
      </c>
      <c r="AK108" s="486">
        <f t="shared" si="17"/>
        <v>234.95032800000001</v>
      </c>
      <c r="AL108" s="457"/>
      <c r="AM108" s="477">
        <f t="shared" si="18"/>
        <v>95972.326929000003</v>
      </c>
      <c r="AN108" s="464"/>
      <c r="AO108" s="402"/>
      <c r="AP108" s="402"/>
      <c r="AQ108" s="402">
        <f t="shared" si="20"/>
        <v>95972.326929000003</v>
      </c>
      <c r="AR108" s="478"/>
    </row>
    <row r="109" spans="1:49" customFormat="1" ht="15" x14ac:dyDescent="0.25">
      <c r="A109" s="205" t="s">
        <v>623</v>
      </c>
      <c r="B109" s="196" t="s">
        <v>624</v>
      </c>
      <c r="C109" s="196" t="s">
        <v>625</v>
      </c>
      <c r="D109" s="457"/>
      <c r="E109" s="482"/>
      <c r="F109" s="483"/>
      <c r="G109" s="467">
        <v>3600</v>
      </c>
      <c r="H109" s="467">
        <v>3360</v>
      </c>
      <c r="I109" s="467">
        <v>3600</v>
      </c>
      <c r="J109" s="468">
        <f t="shared" si="19"/>
        <v>10560</v>
      </c>
      <c r="K109" s="484"/>
      <c r="L109" s="485">
        <f t="shared" si="12"/>
        <v>10560</v>
      </c>
      <c r="M109" s="484" t="s">
        <v>579</v>
      </c>
      <c r="N109" s="469">
        <v>3.6058989272000002</v>
      </c>
      <c r="O109" s="486">
        <f t="shared" si="13"/>
        <v>38078</v>
      </c>
      <c r="P109" s="461"/>
      <c r="Q109" s="37">
        <v>46.3953947368421</v>
      </c>
      <c r="R109" s="469">
        <v>0.2036</v>
      </c>
      <c r="S109" s="486">
        <f t="shared" si="14"/>
        <v>358.95188999999993</v>
      </c>
      <c r="T109" s="461"/>
      <c r="U109" s="37">
        <v>5.0613157894736842</v>
      </c>
      <c r="V109" s="469">
        <v>1.7611399999999999</v>
      </c>
      <c r="W109" s="487">
        <f t="shared" si="15"/>
        <v>338.72005619999999</v>
      </c>
      <c r="X109" s="457"/>
      <c r="Y109" s="488"/>
      <c r="Z109" s="463"/>
      <c r="AA109" s="488"/>
      <c r="AB109" s="463"/>
      <c r="AC109" s="488"/>
      <c r="AD109" s="457"/>
      <c r="AE109" s="489"/>
      <c r="AF109" s="490"/>
      <c r="AG109" s="476">
        <f t="shared" si="16"/>
        <v>0</v>
      </c>
      <c r="AH109" s="457"/>
      <c r="AI109" s="37">
        <v>27.837236842105266</v>
      </c>
      <c r="AJ109" s="469">
        <v>0.2036</v>
      </c>
      <c r="AK109" s="486">
        <f t="shared" si="17"/>
        <v>215.37113400000004</v>
      </c>
      <c r="AL109" s="457"/>
      <c r="AM109" s="477">
        <f t="shared" si="18"/>
        <v>38991.043080199997</v>
      </c>
      <c r="AN109" s="464"/>
      <c r="AO109" s="402"/>
      <c r="AP109" s="402"/>
      <c r="AQ109" s="402">
        <f t="shared" si="20"/>
        <v>38991.043080199997</v>
      </c>
      <c r="AR109" s="478"/>
    </row>
    <row r="110" spans="1:49" customFormat="1" ht="15" x14ac:dyDescent="0.25">
      <c r="A110" s="525" t="s">
        <v>626</v>
      </c>
      <c r="B110" s="196"/>
      <c r="C110" s="196" t="s">
        <v>627</v>
      </c>
      <c r="D110" s="457"/>
      <c r="E110" s="482"/>
      <c r="F110" s="483"/>
      <c r="G110" s="467">
        <v>720</v>
      </c>
      <c r="H110" s="467">
        <v>320</v>
      </c>
      <c r="I110" s="467">
        <v>640</v>
      </c>
      <c r="J110" s="468">
        <f t="shared" si="19"/>
        <v>1680</v>
      </c>
      <c r="K110" s="484"/>
      <c r="L110" s="485">
        <f t="shared" si="12"/>
        <v>1680</v>
      </c>
      <c r="M110" s="484" t="s">
        <v>563</v>
      </c>
      <c r="N110" s="469">
        <v>3.6058989272000002</v>
      </c>
      <c r="O110" s="486">
        <f t="shared" si="13"/>
        <v>6058</v>
      </c>
      <c r="P110" s="461"/>
      <c r="Q110" s="37">
        <v>0</v>
      </c>
      <c r="R110" s="469">
        <v>0.2036</v>
      </c>
      <c r="S110" s="486">
        <f t="shared" si="14"/>
        <v>0</v>
      </c>
      <c r="T110" s="461"/>
      <c r="U110" s="37">
        <v>0</v>
      </c>
      <c r="V110" s="469">
        <v>1.7611399999999999</v>
      </c>
      <c r="W110" s="487">
        <f t="shared" si="15"/>
        <v>0</v>
      </c>
      <c r="X110" s="457"/>
      <c r="Y110" s="488"/>
      <c r="Z110" s="463"/>
      <c r="AA110" s="488"/>
      <c r="AB110" s="463"/>
      <c r="AC110" s="488"/>
      <c r="AD110" s="457"/>
      <c r="AE110" s="489"/>
      <c r="AF110" s="490"/>
      <c r="AG110" s="476">
        <f t="shared" si="16"/>
        <v>0</v>
      </c>
      <c r="AH110" s="457"/>
      <c r="AI110" s="37">
        <v>0</v>
      </c>
      <c r="AJ110" s="469">
        <v>0.2036</v>
      </c>
      <c r="AK110" s="486">
        <f t="shared" si="17"/>
        <v>0</v>
      </c>
      <c r="AL110" s="457"/>
      <c r="AM110" s="477">
        <f t="shared" si="18"/>
        <v>6058</v>
      </c>
      <c r="AN110" s="464"/>
      <c r="AO110" s="402"/>
      <c r="AP110" s="402"/>
      <c r="AQ110" s="402">
        <f t="shared" si="20"/>
        <v>6058</v>
      </c>
      <c r="AR110" s="478"/>
    </row>
    <row r="111" spans="1:49" customFormat="1" ht="15" x14ac:dyDescent="0.25">
      <c r="A111" s="526" t="s">
        <v>628</v>
      </c>
      <c r="B111" s="497"/>
      <c r="C111" s="497" t="s">
        <v>629</v>
      </c>
      <c r="D111" s="457"/>
      <c r="E111" s="482"/>
      <c r="F111" s="483"/>
      <c r="G111" s="467">
        <v>2900</v>
      </c>
      <c r="H111" s="467">
        <v>3950</v>
      </c>
      <c r="I111" s="467">
        <v>2880</v>
      </c>
      <c r="J111" s="468">
        <f t="shared" si="19"/>
        <v>9730</v>
      </c>
      <c r="K111" s="484"/>
      <c r="L111" s="485">
        <f t="shared" si="12"/>
        <v>9730</v>
      </c>
      <c r="M111" s="484" t="s">
        <v>579</v>
      </c>
      <c r="N111" s="469">
        <v>3.6058989272000002</v>
      </c>
      <c r="O111" s="486">
        <f t="shared" si="13"/>
        <v>35085</v>
      </c>
      <c r="P111" s="461"/>
      <c r="Q111" s="37">
        <v>267.74360526315786</v>
      </c>
      <c r="R111" s="469">
        <v>0.2036</v>
      </c>
      <c r="S111" s="486">
        <f t="shared" si="14"/>
        <v>2071.4787251999996</v>
      </c>
      <c r="T111" s="461"/>
      <c r="U111" s="37">
        <v>5.9048684210526314</v>
      </c>
      <c r="V111" s="469">
        <v>1.7611399999999999</v>
      </c>
      <c r="W111" s="487">
        <f t="shared" si="15"/>
        <v>395.1733989</v>
      </c>
      <c r="X111" s="457"/>
      <c r="Y111" s="488"/>
      <c r="Z111" s="463"/>
      <c r="AA111" s="488"/>
      <c r="AB111" s="463"/>
      <c r="AC111" s="488"/>
      <c r="AD111" s="457"/>
      <c r="AE111" s="489"/>
      <c r="AF111" s="490"/>
      <c r="AG111" s="476">
        <f t="shared" si="16"/>
        <v>0</v>
      </c>
      <c r="AH111" s="457"/>
      <c r="AI111" s="37">
        <v>33.742105263157896</v>
      </c>
      <c r="AJ111" s="469">
        <v>0.2036</v>
      </c>
      <c r="AK111" s="486">
        <f t="shared" si="17"/>
        <v>261.05592000000001</v>
      </c>
      <c r="AL111" s="457"/>
      <c r="AM111" s="477">
        <f t="shared" si="18"/>
        <v>37812.7080441</v>
      </c>
      <c r="AN111" s="464"/>
      <c r="AO111" s="402"/>
      <c r="AP111" s="402"/>
      <c r="AQ111" s="402">
        <f t="shared" si="20"/>
        <v>37812.7080441</v>
      </c>
      <c r="AR111" s="478"/>
    </row>
    <row r="112" spans="1:49" customFormat="1" ht="15" x14ac:dyDescent="0.25">
      <c r="A112" s="205" t="s">
        <v>630</v>
      </c>
      <c r="B112" s="196" t="s">
        <v>631</v>
      </c>
      <c r="C112" s="196">
        <v>258417</v>
      </c>
      <c r="D112" s="457"/>
      <c r="E112" s="482"/>
      <c r="F112" s="483"/>
      <c r="G112" s="467">
        <v>4140</v>
      </c>
      <c r="H112" s="467">
        <v>2400</v>
      </c>
      <c r="I112" s="467">
        <v>2900</v>
      </c>
      <c r="J112" s="468">
        <f t="shared" si="19"/>
        <v>9440</v>
      </c>
      <c r="K112" s="484"/>
      <c r="L112" s="485">
        <f t="shared" si="12"/>
        <v>9440</v>
      </c>
      <c r="M112" s="484" t="s">
        <v>579</v>
      </c>
      <c r="N112" s="469">
        <v>3.6058989272000002</v>
      </c>
      <c r="O112" s="486">
        <f t="shared" si="13"/>
        <v>34040</v>
      </c>
      <c r="P112" s="461"/>
      <c r="Q112" s="37">
        <v>250.36642105263158</v>
      </c>
      <c r="R112" s="469">
        <v>0.2036</v>
      </c>
      <c r="S112" s="486">
        <f t="shared" si="14"/>
        <v>1937.0349263999999</v>
      </c>
      <c r="T112" s="461"/>
      <c r="U112" s="37">
        <v>10.122631578947368</v>
      </c>
      <c r="V112" s="469">
        <v>1.7611399999999999</v>
      </c>
      <c r="W112" s="487">
        <f t="shared" si="15"/>
        <v>677.44011239999998</v>
      </c>
      <c r="X112" s="457"/>
      <c r="Y112" s="488"/>
      <c r="Z112" s="463"/>
      <c r="AA112" s="488"/>
      <c r="AB112" s="463"/>
      <c r="AC112" s="488"/>
      <c r="AD112" s="457"/>
      <c r="AE112" s="489"/>
      <c r="AF112" s="490"/>
      <c r="AG112" s="476">
        <f t="shared" si="16"/>
        <v>0</v>
      </c>
      <c r="AH112" s="457"/>
      <c r="AI112" s="37">
        <v>0</v>
      </c>
      <c r="AJ112" s="469">
        <v>0.2036</v>
      </c>
      <c r="AK112" s="486">
        <f t="shared" si="17"/>
        <v>0</v>
      </c>
      <c r="AL112" s="457"/>
      <c r="AM112" s="477">
        <f t="shared" si="18"/>
        <v>36654.475038800003</v>
      </c>
      <c r="AN112" s="464"/>
      <c r="AO112" s="402"/>
      <c r="AP112" s="402"/>
      <c r="AQ112" s="402">
        <f t="shared" si="20"/>
        <v>36654.475038800003</v>
      </c>
      <c r="AR112" s="478"/>
    </row>
    <row r="113" spans="1:44" customFormat="1" ht="15" x14ac:dyDescent="0.25">
      <c r="A113" s="205" t="s">
        <v>632</v>
      </c>
      <c r="B113" s="196" t="s">
        <v>633</v>
      </c>
      <c r="C113" s="196" t="s">
        <v>634</v>
      </c>
      <c r="D113" s="457"/>
      <c r="E113" s="482"/>
      <c r="F113" s="483"/>
      <c r="G113" s="467">
        <v>3780</v>
      </c>
      <c r="H113" s="467">
        <v>5040</v>
      </c>
      <c r="I113" s="467">
        <v>3960</v>
      </c>
      <c r="J113" s="468">
        <f t="shared" si="19"/>
        <v>12780</v>
      </c>
      <c r="K113" s="484"/>
      <c r="L113" s="485">
        <f t="shared" si="12"/>
        <v>12780</v>
      </c>
      <c r="M113" s="484" t="s">
        <v>563</v>
      </c>
      <c r="N113" s="469">
        <v>3.6058989272000002</v>
      </c>
      <c r="O113" s="486">
        <f t="shared" si="13"/>
        <v>46083</v>
      </c>
      <c r="P113" s="461"/>
      <c r="Q113" s="37">
        <v>306.71573684210529</v>
      </c>
      <c r="R113" s="469">
        <v>0.2036</v>
      </c>
      <c r="S113" s="486">
        <f t="shared" si="14"/>
        <v>2372.9983128000003</v>
      </c>
      <c r="T113" s="461"/>
      <c r="U113" s="37">
        <v>0</v>
      </c>
      <c r="V113" s="469">
        <v>1.7611399999999999</v>
      </c>
      <c r="W113" s="487">
        <f t="shared" si="15"/>
        <v>0</v>
      </c>
      <c r="X113" s="457"/>
      <c r="Y113" s="488"/>
      <c r="Z113" s="463"/>
      <c r="AA113" s="488"/>
      <c r="AB113" s="463"/>
      <c r="AC113" s="488"/>
      <c r="AD113" s="457"/>
      <c r="AE113" s="489"/>
      <c r="AF113" s="490"/>
      <c r="AG113" s="476">
        <f t="shared" si="16"/>
        <v>0</v>
      </c>
      <c r="AH113" s="457"/>
      <c r="AI113" s="37">
        <v>31.886289473684208</v>
      </c>
      <c r="AJ113" s="469">
        <v>0.2036</v>
      </c>
      <c r="AK113" s="486">
        <f t="shared" si="17"/>
        <v>246.69784439999998</v>
      </c>
      <c r="AL113" s="457"/>
      <c r="AM113" s="477">
        <f t="shared" si="18"/>
        <v>48702.6961572</v>
      </c>
      <c r="AN113" s="464"/>
      <c r="AO113" s="402"/>
      <c r="AP113" s="402"/>
      <c r="AQ113" s="402">
        <f t="shared" si="20"/>
        <v>48702.6961572</v>
      </c>
      <c r="AR113" s="478"/>
    </row>
    <row r="114" spans="1:44" customFormat="1" ht="15" x14ac:dyDescent="0.25">
      <c r="A114" s="205" t="s">
        <v>635</v>
      </c>
      <c r="B114" s="196" t="s">
        <v>636</v>
      </c>
      <c r="C114" s="196" t="s">
        <v>637</v>
      </c>
      <c r="D114" s="457"/>
      <c r="E114" s="482"/>
      <c r="F114" s="483"/>
      <c r="G114" s="467">
        <v>6500</v>
      </c>
      <c r="H114" s="467">
        <v>3360</v>
      </c>
      <c r="I114" s="467">
        <v>4500</v>
      </c>
      <c r="J114" s="468">
        <f t="shared" si="19"/>
        <v>14360</v>
      </c>
      <c r="K114" s="484"/>
      <c r="L114" s="485">
        <f t="shared" si="12"/>
        <v>14360</v>
      </c>
      <c r="M114" s="484" t="s">
        <v>579</v>
      </c>
      <c r="N114" s="469">
        <v>3.6058989272000002</v>
      </c>
      <c r="O114" s="486">
        <f t="shared" si="13"/>
        <v>51781</v>
      </c>
      <c r="P114" s="461"/>
      <c r="Q114" s="37">
        <v>663.5385</v>
      </c>
      <c r="R114" s="469">
        <v>0.2036</v>
      </c>
      <c r="S114" s="486">
        <f t="shared" si="14"/>
        <v>5133.6646668000003</v>
      </c>
      <c r="T114" s="461"/>
      <c r="U114" s="37">
        <v>10.122631578947368</v>
      </c>
      <c r="V114" s="469">
        <v>1.7611399999999999</v>
      </c>
      <c r="W114" s="487">
        <f t="shared" si="15"/>
        <v>677.44011239999998</v>
      </c>
      <c r="X114" s="457"/>
      <c r="Y114" s="488"/>
      <c r="Z114" s="463"/>
      <c r="AA114" s="488"/>
      <c r="AB114" s="463"/>
      <c r="AC114" s="488"/>
      <c r="AD114" s="457"/>
      <c r="AE114" s="489"/>
      <c r="AF114" s="490"/>
      <c r="AG114" s="476">
        <f t="shared" si="16"/>
        <v>0</v>
      </c>
      <c r="AH114" s="457"/>
      <c r="AI114" s="37">
        <v>0</v>
      </c>
      <c r="AJ114" s="469">
        <v>0.2036</v>
      </c>
      <c r="AK114" s="486">
        <f t="shared" si="17"/>
        <v>0</v>
      </c>
      <c r="AL114" s="457"/>
      <c r="AM114" s="477">
        <f t="shared" si="18"/>
        <v>57592.104779200003</v>
      </c>
      <c r="AN114" s="464"/>
      <c r="AO114" s="402"/>
      <c r="AP114" s="402"/>
      <c r="AQ114" s="402">
        <f t="shared" si="20"/>
        <v>57592.104779200003</v>
      </c>
      <c r="AR114" s="478"/>
    </row>
    <row r="115" spans="1:44" customFormat="1" ht="15" x14ac:dyDescent="0.25">
      <c r="A115" s="205" t="s">
        <v>638</v>
      </c>
      <c r="B115" s="196" t="s">
        <v>639</v>
      </c>
      <c r="C115" s="196">
        <v>206106</v>
      </c>
      <c r="D115" s="457"/>
      <c r="E115" s="482"/>
      <c r="F115" s="483"/>
      <c r="G115" s="467">
        <v>2160</v>
      </c>
      <c r="H115" s="467">
        <v>2520</v>
      </c>
      <c r="I115" s="467">
        <v>2160</v>
      </c>
      <c r="J115" s="468">
        <f t="shared" si="19"/>
        <v>6840</v>
      </c>
      <c r="K115" s="484"/>
      <c r="L115" s="485">
        <f t="shared" si="12"/>
        <v>6840</v>
      </c>
      <c r="M115" s="484" t="s">
        <v>563</v>
      </c>
      <c r="N115" s="469">
        <v>3.6058989272000002</v>
      </c>
      <c r="O115" s="486">
        <f t="shared" si="13"/>
        <v>24664</v>
      </c>
      <c r="P115" s="461"/>
      <c r="Q115" s="37">
        <v>213.41881578947371</v>
      </c>
      <c r="R115" s="469">
        <v>0.2036</v>
      </c>
      <c r="S115" s="486">
        <f t="shared" si="14"/>
        <v>1651.1786940000002</v>
      </c>
      <c r="T115" s="461"/>
      <c r="U115" s="37">
        <v>5.0613157894736842</v>
      </c>
      <c r="V115" s="469">
        <v>1.7611399999999999</v>
      </c>
      <c r="W115" s="487">
        <f t="shared" si="15"/>
        <v>338.72005619999999</v>
      </c>
      <c r="X115" s="457"/>
      <c r="Y115" s="488"/>
      <c r="Z115" s="463"/>
      <c r="AA115" s="488"/>
      <c r="AB115" s="463"/>
      <c r="AC115" s="488"/>
      <c r="AD115" s="457"/>
      <c r="AE115" s="489"/>
      <c r="AF115" s="490"/>
      <c r="AG115" s="476">
        <f t="shared" si="16"/>
        <v>0</v>
      </c>
      <c r="AH115" s="457"/>
      <c r="AI115" s="37">
        <v>0</v>
      </c>
      <c r="AJ115" s="469">
        <v>0.2036</v>
      </c>
      <c r="AK115" s="486">
        <f t="shared" si="17"/>
        <v>0</v>
      </c>
      <c r="AL115" s="457"/>
      <c r="AM115" s="477">
        <f t="shared" si="18"/>
        <v>26653.898750200002</v>
      </c>
      <c r="AN115" s="464"/>
      <c r="AO115" s="402"/>
      <c r="AP115" s="402"/>
      <c r="AQ115" s="402">
        <f t="shared" si="20"/>
        <v>26653.898750200002</v>
      </c>
      <c r="AR115" s="478"/>
    </row>
    <row r="116" spans="1:44" customFormat="1" ht="15" x14ac:dyDescent="0.25">
      <c r="A116" s="498" t="s">
        <v>640</v>
      </c>
      <c r="B116" s="198"/>
      <c r="C116" s="527" t="s">
        <v>641</v>
      </c>
      <c r="D116" s="457"/>
      <c r="E116" s="482"/>
      <c r="F116" s="483"/>
      <c r="G116" s="467">
        <v>9100</v>
      </c>
      <c r="H116" s="467">
        <v>5800</v>
      </c>
      <c r="I116" s="467">
        <v>9400</v>
      </c>
      <c r="J116" s="468">
        <f t="shared" si="19"/>
        <v>24300</v>
      </c>
      <c r="K116" s="484"/>
      <c r="L116" s="485">
        <f t="shared" si="12"/>
        <v>24300</v>
      </c>
      <c r="M116" s="484" t="s">
        <v>563</v>
      </c>
      <c r="N116" s="469">
        <v>3.6058989272000002</v>
      </c>
      <c r="O116" s="486">
        <f t="shared" si="13"/>
        <v>87623</v>
      </c>
      <c r="P116" s="461"/>
      <c r="Q116" s="37">
        <v>1637.8417894736842</v>
      </c>
      <c r="R116" s="469">
        <v>0.2036</v>
      </c>
      <c r="S116" s="486">
        <f t="shared" si="14"/>
        <v>12671.6543568</v>
      </c>
      <c r="T116" s="461"/>
      <c r="U116" s="37">
        <v>43.189894736842106</v>
      </c>
      <c r="V116" s="469">
        <v>1.7611399999999999</v>
      </c>
      <c r="W116" s="487">
        <f t="shared" si="15"/>
        <v>2890.4111462399997</v>
      </c>
      <c r="X116" s="457"/>
      <c r="Y116" s="488"/>
      <c r="Z116" s="463"/>
      <c r="AA116" s="488"/>
      <c r="AB116" s="463"/>
      <c r="AC116" s="488"/>
      <c r="AD116" s="457"/>
      <c r="AE116" s="489"/>
      <c r="AF116" s="490"/>
      <c r="AG116" s="476">
        <f t="shared" si="16"/>
        <v>0</v>
      </c>
      <c r="AH116" s="457"/>
      <c r="AI116" s="37">
        <v>46.3953947368421</v>
      </c>
      <c r="AJ116" s="469">
        <v>0.2036</v>
      </c>
      <c r="AK116" s="486">
        <f t="shared" si="17"/>
        <v>358.95188999999993</v>
      </c>
      <c r="AL116" s="457"/>
      <c r="AM116" s="477">
        <f t="shared" si="18"/>
        <v>103544.01739304001</v>
      </c>
      <c r="AN116" s="464"/>
      <c r="AO116" s="402"/>
      <c r="AP116" s="402"/>
      <c r="AQ116" s="402">
        <f t="shared" si="20"/>
        <v>103544.01739304001</v>
      </c>
      <c r="AR116" s="478"/>
    </row>
    <row r="117" spans="1:44" customFormat="1" ht="15" x14ac:dyDescent="0.25">
      <c r="A117" s="205" t="s">
        <v>642</v>
      </c>
      <c r="B117" s="196" t="s">
        <v>586</v>
      </c>
      <c r="C117" s="196" t="s">
        <v>643</v>
      </c>
      <c r="D117" s="457"/>
      <c r="E117" s="482"/>
      <c r="F117" s="483"/>
      <c r="G117" s="467">
        <v>3350</v>
      </c>
      <c r="H117" s="467">
        <v>1000</v>
      </c>
      <c r="I117" s="467">
        <v>1660</v>
      </c>
      <c r="J117" s="468">
        <f t="shared" si="19"/>
        <v>6010</v>
      </c>
      <c r="K117" s="484"/>
      <c r="L117" s="485">
        <f t="shared" si="12"/>
        <v>6010</v>
      </c>
      <c r="M117" s="484" t="s">
        <v>579</v>
      </c>
      <c r="N117" s="469">
        <v>3.6058989272000002</v>
      </c>
      <c r="O117" s="486">
        <f t="shared" si="13"/>
        <v>21671</v>
      </c>
      <c r="P117" s="461"/>
      <c r="Q117" s="37">
        <v>20.245263157894737</v>
      </c>
      <c r="R117" s="469">
        <v>0.2036</v>
      </c>
      <c r="S117" s="486">
        <f t="shared" si="14"/>
        <v>156.63355200000001</v>
      </c>
      <c r="T117" s="461"/>
      <c r="U117" s="37">
        <v>0</v>
      </c>
      <c r="V117" s="469">
        <v>1.7611399999999999</v>
      </c>
      <c r="W117" s="487">
        <f t="shared" si="15"/>
        <v>0</v>
      </c>
      <c r="X117" s="457"/>
      <c r="Y117" s="488"/>
      <c r="Z117" s="463"/>
      <c r="AA117" s="488"/>
      <c r="AB117" s="463"/>
      <c r="AC117" s="488"/>
      <c r="AD117" s="457"/>
      <c r="AE117" s="489"/>
      <c r="AF117" s="490"/>
      <c r="AG117" s="476">
        <f t="shared" si="16"/>
        <v>0</v>
      </c>
      <c r="AH117" s="457"/>
      <c r="AI117" s="37">
        <v>23.956894736842106</v>
      </c>
      <c r="AJ117" s="469">
        <v>0.2036</v>
      </c>
      <c r="AK117" s="486">
        <f t="shared" si="17"/>
        <v>185.34970320000002</v>
      </c>
      <c r="AL117" s="457"/>
      <c r="AM117" s="477">
        <f t="shared" si="18"/>
        <v>22012.983255200001</v>
      </c>
      <c r="AN117" s="464"/>
      <c r="AO117" s="402"/>
      <c r="AP117" s="402"/>
      <c r="AQ117" s="402">
        <f t="shared" si="20"/>
        <v>22012.983255200001</v>
      </c>
      <c r="AR117" s="478"/>
    </row>
    <row r="118" spans="1:44" customFormat="1" ht="15" x14ac:dyDescent="0.25">
      <c r="A118" s="498" t="s">
        <v>644</v>
      </c>
      <c r="B118" s="198"/>
      <c r="C118" s="527" t="s">
        <v>645</v>
      </c>
      <c r="D118" s="457"/>
      <c r="E118" s="482"/>
      <c r="F118" s="483"/>
      <c r="G118" s="467">
        <v>10440</v>
      </c>
      <c r="H118" s="467">
        <v>9830</v>
      </c>
      <c r="I118" s="467">
        <v>9700</v>
      </c>
      <c r="J118" s="468">
        <f t="shared" si="19"/>
        <v>29970</v>
      </c>
      <c r="K118" s="484"/>
      <c r="L118" s="485">
        <f t="shared" si="12"/>
        <v>29970</v>
      </c>
      <c r="M118" s="484" t="s">
        <v>563</v>
      </c>
      <c r="N118" s="469">
        <v>3.6058989272000002</v>
      </c>
      <c r="O118" s="486">
        <f t="shared" si="13"/>
        <v>108069</v>
      </c>
      <c r="P118" s="461"/>
      <c r="Q118" s="37">
        <v>1317.2917894736843</v>
      </c>
      <c r="R118" s="469">
        <v>0.2036</v>
      </c>
      <c r="S118" s="486">
        <f t="shared" si="14"/>
        <v>10191.623116799999</v>
      </c>
      <c r="T118" s="461"/>
      <c r="U118" s="37">
        <v>16.0275</v>
      </c>
      <c r="V118" s="469">
        <v>1.7611399999999999</v>
      </c>
      <c r="W118" s="487">
        <f t="shared" si="15"/>
        <v>1072.6135113</v>
      </c>
      <c r="X118" s="457"/>
      <c r="Y118" s="488"/>
      <c r="Z118" s="463"/>
      <c r="AA118" s="488"/>
      <c r="AB118" s="463"/>
      <c r="AC118" s="488"/>
      <c r="AD118" s="457"/>
      <c r="AE118" s="489"/>
      <c r="AF118" s="490"/>
      <c r="AG118" s="476">
        <f t="shared" si="16"/>
        <v>0</v>
      </c>
      <c r="AH118" s="457"/>
      <c r="AI118" s="37">
        <v>136.37434210526317</v>
      </c>
      <c r="AJ118" s="469">
        <v>0.2036</v>
      </c>
      <c r="AK118" s="486">
        <f t="shared" si="17"/>
        <v>1055.1010100000001</v>
      </c>
      <c r="AL118" s="457"/>
      <c r="AM118" s="477">
        <f t="shared" si="18"/>
        <v>120388.3376381</v>
      </c>
      <c r="AN118" s="464"/>
      <c r="AO118" s="402"/>
      <c r="AP118" s="402"/>
      <c r="AQ118" s="402">
        <f t="shared" si="20"/>
        <v>120388.3376381</v>
      </c>
      <c r="AR118" s="478"/>
    </row>
    <row r="119" spans="1:44" customFormat="1" ht="15" x14ac:dyDescent="0.25">
      <c r="A119" s="205" t="s">
        <v>646</v>
      </c>
      <c r="B119" s="196" t="s">
        <v>647</v>
      </c>
      <c r="C119" s="196">
        <v>206133</v>
      </c>
      <c r="D119" s="457"/>
      <c r="E119" s="482"/>
      <c r="F119" s="483"/>
      <c r="G119" s="467">
        <v>4032</v>
      </c>
      <c r="H119" s="467">
        <v>2730</v>
      </c>
      <c r="I119" s="467">
        <v>3670</v>
      </c>
      <c r="J119" s="468">
        <f t="shared" si="19"/>
        <v>10432</v>
      </c>
      <c r="K119" s="484"/>
      <c r="L119" s="485">
        <f t="shared" si="12"/>
        <v>10432</v>
      </c>
      <c r="M119" s="484" t="s">
        <v>579</v>
      </c>
      <c r="N119" s="469">
        <v>3.6058989272000002</v>
      </c>
      <c r="O119" s="486">
        <f t="shared" si="13"/>
        <v>37617</v>
      </c>
      <c r="P119" s="461"/>
      <c r="Q119" s="37">
        <v>265.04423684210525</v>
      </c>
      <c r="R119" s="469">
        <v>0.2036</v>
      </c>
      <c r="S119" s="486">
        <f t="shared" si="14"/>
        <v>2050.5942516</v>
      </c>
      <c r="T119" s="461"/>
      <c r="U119" s="37">
        <v>0</v>
      </c>
      <c r="V119" s="469">
        <v>1.7611399999999999</v>
      </c>
      <c r="W119" s="487">
        <f t="shared" si="15"/>
        <v>0</v>
      </c>
      <c r="X119" s="457"/>
      <c r="Y119" s="488"/>
      <c r="Z119" s="463"/>
      <c r="AA119" s="488"/>
      <c r="AB119" s="463"/>
      <c r="AC119" s="488"/>
      <c r="AD119" s="457"/>
      <c r="AE119" s="489"/>
      <c r="AF119" s="490"/>
      <c r="AG119" s="476">
        <f t="shared" si="16"/>
        <v>0</v>
      </c>
      <c r="AH119" s="457"/>
      <c r="AI119" s="37">
        <v>50.613157894736844</v>
      </c>
      <c r="AJ119" s="469">
        <v>0.2036</v>
      </c>
      <c r="AK119" s="486">
        <f t="shared" si="17"/>
        <v>391.58388000000002</v>
      </c>
      <c r="AL119" s="457"/>
      <c r="AM119" s="477">
        <f t="shared" si="18"/>
        <v>40059.178131599998</v>
      </c>
      <c r="AN119" s="464"/>
      <c r="AO119" s="402"/>
      <c r="AP119" s="402"/>
      <c r="AQ119" s="402">
        <f t="shared" si="20"/>
        <v>40059.178131599998</v>
      </c>
      <c r="AR119" s="478"/>
    </row>
    <row r="120" spans="1:44" customFormat="1" ht="15" x14ac:dyDescent="0.25">
      <c r="A120" s="205" t="s">
        <v>648</v>
      </c>
      <c r="B120" s="196" t="s">
        <v>649</v>
      </c>
      <c r="C120" s="196" t="s">
        <v>650</v>
      </c>
      <c r="D120" s="457"/>
      <c r="E120" s="482"/>
      <c r="F120" s="483"/>
      <c r="G120" s="467">
        <v>0</v>
      </c>
      <c r="H120" s="467">
        <v>0</v>
      </c>
      <c r="I120" s="467">
        <v>0</v>
      </c>
      <c r="J120" s="468">
        <f t="shared" si="19"/>
        <v>0</v>
      </c>
      <c r="K120" s="484"/>
      <c r="L120" s="485">
        <f t="shared" si="12"/>
        <v>0</v>
      </c>
      <c r="M120" s="484" t="s">
        <v>563</v>
      </c>
      <c r="N120" s="469">
        <v>3.6058989272000002</v>
      </c>
      <c r="O120" s="486">
        <f t="shared" si="13"/>
        <v>0</v>
      </c>
      <c r="P120" s="461"/>
      <c r="Q120" s="37">
        <v>0</v>
      </c>
      <c r="R120" s="469">
        <v>0.2036</v>
      </c>
      <c r="S120" s="486">
        <f t="shared" si="14"/>
        <v>0</v>
      </c>
      <c r="T120" s="461"/>
      <c r="U120" s="37">
        <v>0</v>
      </c>
      <c r="V120" s="469">
        <v>1.7611399999999999</v>
      </c>
      <c r="W120" s="487">
        <f t="shared" si="15"/>
        <v>0</v>
      </c>
      <c r="X120" s="457"/>
      <c r="Y120" s="488"/>
      <c r="Z120" s="463"/>
      <c r="AA120" s="488"/>
      <c r="AB120" s="463"/>
      <c r="AC120" s="488"/>
      <c r="AD120" s="457"/>
      <c r="AE120" s="489"/>
      <c r="AF120" s="490"/>
      <c r="AG120" s="476">
        <f t="shared" si="16"/>
        <v>0</v>
      </c>
      <c r="AH120" s="457"/>
      <c r="AI120" s="37">
        <v>0</v>
      </c>
      <c r="AJ120" s="469">
        <v>0.2036</v>
      </c>
      <c r="AK120" s="486">
        <f t="shared" si="17"/>
        <v>0</v>
      </c>
      <c r="AL120" s="457"/>
      <c r="AM120" s="477">
        <f t="shared" si="18"/>
        <v>0</v>
      </c>
      <c r="AN120" s="464"/>
      <c r="AO120" s="402"/>
      <c r="AP120" s="402"/>
      <c r="AQ120" s="402">
        <f t="shared" si="20"/>
        <v>0</v>
      </c>
      <c r="AR120" s="478"/>
    </row>
    <row r="121" spans="1:44" customFormat="1" ht="15" x14ac:dyDescent="0.25">
      <c r="A121" s="205" t="s">
        <v>651</v>
      </c>
      <c r="B121" s="196" t="s">
        <v>652</v>
      </c>
      <c r="C121" s="196">
        <v>206134</v>
      </c>
      <c r="D121" s="457"/>
      <c r="E121" s="482"/>
      <c r="F121" s="483"/>
      <c r="G121" s="467">
        <v>7200</v>
      </c>
      <c r="H121" s="467">
        <v>7400</v>
      </c>
      <c r="I121" s="467">
        <v>6500</v>
      </c>
      <c r="J121" s="468">
        <f t="shared" si="19"/>
        <v>21100</v>
      </c>
      <c r="K121" s="484"/>
      <c r="L121" s="485">
        <f t="shared" si="12"/>
        <v>21100</v>
      </c>
      <c r="M121" s="484" t="s">
        <v>579</v>
      </c>
      <c r="N121" s="469">
        <v>3.6058989272000002</v>
      </c>
      <c r="O121" s="486">
        <f t="shared" si="13"/>
        <v>76084</v>
      </c>
      <c r="P121" s="461"/>
      <c r="Q121" s="37">
        <v>300.81086842105259</v>
      </c>
      <c r="R121" s="469">
        <v>0.2036</v>
      </c>
      <c r="S121" s="486">
        <f t="shared" si="14"/>
        <v>2327.3135267999996</v>
      </c>
      <c r="T121" s="461"/>
      <c r="U121" s="37">
        <v>0</v>
      </c>
      <c r="V121" s="469">
        <v>1.7611399999999999</v>
      </c>
      <c r="W121" s="487">
        <f t="shared" si="15"/>
        <v>0</v>
      </c>
      <c r="X121" s="457"/>
      <c r="Y121" s="488"/>
      <c r="Z121" s="463"/>
      <c r="AA121" s="488"/>
      <c r="AB121" s="463"/>
      <c r="AC121" s="488"/>
      <c r="AD121" s="457"/>
      <c r="AE121" s="489"/>
      <c r="AF121" s="490"/>
      <c r="AG121" s="476">
        <f t="shared" si="16"/>
        <v>0</v>
      </c>
      <c r="AH121" s="457"/>
      <c r="AI121" s="37">
        <v>116.41026315789473</v>
      </c>
      <c r="AJ121" s="469">
        <v>0.2036</v>
      </c>
      <c r="AK121" s="486">
        <f t="shared" si="17"/>
        <v>900.64292399999988</v>
      </c>
      <c r="AL121" s="457"/>
      <c r="AM121" s="477">
        <f t="shared" si="18"/>
        <v>79311.956450800004</v>
      </c>
      <c r="AN121" s="464"/>
      <c r="AO121" s="402"/>
      <c r="AP121" s="402"/>
      <c r="AQ121" s="402">
        <f t="shared" si="20"/>
        <v>79311.956450800004</v>
      </c>
      <c r="AR121" s="478"/>
    </row>
    <row r="122" spans="1:44" customFormat="1" ht="15" x14ac:dyDescent="0.25">
      <c r="A122" s="528" t="s">
        <v>653</v>
      </c>
      <c r="B122" s="529"/>
      <c r="C122" s="529" t="s">
        <v>654</v>
      </c>
      <c r="D122" s="457"/>
      <c r="E122" s="482"/>
      <c r="F122" s="483"/>
      <c r="G122" s="467">
        <v>210</v>
      </c>
      <c r="H122" s="467">
        <v>90</v>
      </c>
      <c r="I122" s="467">
        <v>188</v>
      </c>
      <c r="J122" s="468">
        <f t="shared" si="19"/>
        <v>488</v>
      </c>
      <c r="K122" s="484"/>
      <c r="L122" s="485">
        <f t="shared" si="12"/>
        <v>488</v>
      </c>
      <c r="M122" s="484" t="s">
        <v>563</v>
      </c>
      <c r="N122" s="469">
        <v>3.6058989272000002</v>
      </c>
      <c r="O122" s="486">
        <f t="shared" si="13"/>
        <v>1760</v>
      </c>
      <c r="P122" s="461"/>
      <c r="Q122" s="37">
        <v>132.66271052631566</v>
      </c>
      <c r="R122" s="469">
        <v>0.2036</v>
      </c>
      <c r="S122" s="486">
        <f t="shared" si="14"/>
        <v>1026.3848587999989</v>
      </c>
      <c r="T122" s="461"/>
      <c r="U122" s="37">
        <v>0</v>
      </c>
      <c r="V122" s="469">
        <v>1.7611399999999999</v>
      </c>
      <c r="W122" s="487">
        <f t="shared" si="15"/>
        <v>0</v>
      </c>
      <c r="X122" s="457"/>
      <c r="Y122" s="488"/>
      <c r="Z122" s="463"/>
      <c r="AA122" s="488"/>
      <c r="AB122" s="463"/>
      <c r="AC122" s="488"/>
      <c r="AD122" s="457"/>
      <c r="AE122" s="489"/>
      <c r="AF122" s="490"/>
      <c r="AG122" s="476">
        <f t="shared" si="16"/>
        <v>0</v>
      </c>
      <c r="AH122" s="457"/>
      <c r="AI122" s="37">
        <v>40.82794736842105</v>
      </c>
      <c r="AJ122" s="469">
        <v>0.2036</v>
      </c>
      <c r="AK122" s="486">
        <f t="shared" si="17"/>
        <v>315.87766319999997</v>
      </c>
      <c r="AL122" s="457"/>
      <c r="AM122" s="477">
        <f t="shared" si="18"/>
        <v>3102.2625219999991</v>
      </c>
      <c r="AN122" s="464"/>
      <c r="AO122" s="402"/>
      <c r="AP122" s="402"/>
      <c r="AQ122" s="402">
        <f t="shared" si="20"/>
        <v>3102.2625219999991</v>
      </c>
      <c r="AR122" s="478"/>
    </row>
    <row r="123" spans="1:44" customFormat="1" ht="15" x14ac:dyDescent="0.25">
      <c r="A123" s="205" t="s">
        <v>655</v>
      </c>
      <c r="B123" s="196"/>
      <c r="C123" s="196" t="s">
        <v>656</v>
      </c>
      <c r="D123" s="457"/>
      <c r="E123" s="482"/>
      <c r="F123" s="483"/>
      <c r="G123" s="467">
        <v>9504</v>
      </c>
      <c r="H123" s="467">
        <v>5754</v>
      </c>
      <c r="I123" s="467">
        <v>8136</v>
      </c>
      <c r="J123" s="468">
        <f t="shared" si="19"/>
        <v>23394</v>
      </c>
      <c r="K123" s="484"/>
      <c r="L123" s="485">
        <f t="shared" si="12"/>
        <v>23394</v>
      </c>
      <c r="M123" s="484" t="s">
        <v>563</v>
      </c>
      <c r="N123" s="469">
        <v>3.6058989272000002</v>
      </c>
      <c r="O123" s="486">
        <f t="shared" si="13"/>
        <v>84356</v>
      </c>
      <c r="P123" s="461"/>
      <c r="Q123" s="37">
        <v>136.14939473684211</v>
      </c>
      <c r="R123" s="469">
        <v>0.2036</v>
      </c>
      <c r="S123" s="486">
        <f t="shared" si="14"/>
        <v>1053.3606372000002</v>
      </c>
      <c r="T123" s="461"/>
      <c r="U123" s="37">
        <v>0</v>
      </c>
      <c r="V123" s="469">
        <v>1.7611399999999999</v>
      </c>
      <c r="W123" s="487">
        <f t="shared" si="15"/>
        <v>0</v>
      </c>
      <c r="X123" s="457"/>
      <c r="Y123" s="488"/>
      <c r="Z123" s="463"/>
      <c r="AA123" s="488"/>
      <c r="AB123" s="463"/>
      <c r="AC123" s="488"/>
      <c r="AD123" s="457"/>
      <c r="AE123" s="489"/>
      <c r="AF123" s="490"/>
      <c r="AG123" s="476">
        <f t="shared" si="16"/>
        <v>0</v>
      </c>
      <c r="AH123" s="457"/>
      <c r="AI123" s="37">
        <v>5.0613157894736842</v>
      </c>
      <c r="AJ123" s="469">
        <v>0.2036</v>
      </c>
      <c r="AK123" s="486">
        <f t="shared" si="17"/>
        <v>39.158388000000002</v>
      </c>
      <c r="AL123" s="457"/>
      <c r="AM123" s="477">
        <f t="shared" si="18"/>
        <v>85448.519025200003</v>
      </c>
      <c r="AN123" s="464"/>
      <c r="AO123" s="402"/>
      <c r="AP123" s="402"/>
      <c r="AQ123" s="402">
        <f t="shared" si="20"/>
        <v>85448.519025200003</v>
      </c>
      <c r="AR123" s="478"/>
    </row>
    <row r="124" spans="1:44" customFormat="1" ht="15" x14ac:dyDescent="0.25">
      <c r="A124" s="205" t="s">
        <v>657</v>
      </c>
      <c r="B124" s="196"/>
      <c r="C124" s="196" t="s">
        <v>658</v>
      </c>
      <c r="D124" s="457"/>
      <c r="E124" s="482"/>
      <c r="F124" s="483"/>
      <c r="G124" s="467">
        <v>7250</v>
      </c>
      <c r="H124" s="467">
        <v>5500</v>
      </c>
      <c r="I124" s="467">
        <v>8500</v>
      </c>
      <c r="J124" s="468">
        <f t="shared" si="19"/>
        <v>21250</v>
      </c>
      <c r="K124" s="484"/>
      <c r="L124" s="485">
        <f t="shared" si="12"/>
        <v>21250</v>
      </c>
      <c r="M124" s="484" t="s">
        <v>563</v>
      </c>
      <c r="N124" s="469">
        <v>3.6058989272000002</v>
      </c>
      <c r="O124" s="486">
        <f t="shared" si="13"/>
        <v>76625</v>
      </c>
      <c r="P124" s="461"/>
      <c r="Q124" s="37">
        <v>138.68005263157895</v>
      </c>
      <c r="R124" s="469">
        <v>0.2036</v>
      </c>
      <c r="S124" s="486">
        <f t="shared" si="14"/>
        <v>1072.9398312000001</v>
      </c>
      <c r="T124" s="461"/>
      <c r="U124" s="37">
        <v>0</v>
      </c>
      <c r="V124" s="469">
        <v>1.7611399999999999</v>
      </c>
      <c r="W124" s="487">
        <f t="shared" si="15"/>
        <v>0</v>
      </c>
      <c r="X124" s="457"/>
      <c r="Y124" s="488"/>
      <c r="Z124" s="463"/>
      <c r="AA124" s="488"/>
      <c r="AB124" s="463"/>
      <c r="AC124" s="488"/>
      <c r="AD124" s="457"/>
      <c r="AE124" s="489"/>
      <c r="AF124" s="490"/>
      <c r="AG124" s="476">
        <f t="shared" si="16"/>
        <v>0</v>
      </c>
      <c r="AH124" s="457"/>
      <c r="AI124" s="37">
        <v>9.1103684210526321</v>
      </c>
      <c r="AJ124" s="469">
        <v>0.2036</v>
      </c>
      <c r="AK124" s="486">
        <f t="shared" si="17"/>
        <v>70.485098400000012</v>
      </c>
      <c r="AL124" s="457"/>
      <c r="AM124" s="477">
        <f t="shared" si="18"/>
        <v>77768.424929600005</v>
      </c>
      <c r="AN124" s="464"/>
      <c r="AO124" s="402"/>
      <c r="AP124" s="402"/>
      <c r="AQ124" s="402">
        <f t="shared" si="20"/>
        <v>77768.424929600005</v>
      </c>
      <c r="AR124" s="478"/>
    </row>
    <row r="125" spans="1:44" customFormat="1" ht="15" x14ac:dyDescent="0.25">
      <c r="A125" s="205" t="s">
        <v>659</v>
      </c>
      <c r="B125" s="196" t="s">
        <v>660</v>
      </c>
      <c r="C125" s="196">
        <v>206109</v>
      </c>
      <c r="D125" s="457"/>
      <c r="E125" s="482"/>
      <c r="F125" s="483"/>
      <c r="G125" s="467">
        <v>9000</v>
      </c>
      <c r="H125" s="467">
        <v>7000</v>
      </c>
      <c r="I125" s="467">
        <v>8500</v>
      </c>
      <c r="J125" s="468">
        <f t="shared" si="19"/>
        <v>24500</v>
      </c>
      <c r="K125" s="484"/>
      <c r="L125" s="485">
        <f t="shared" si="12"/>
        <v>24500</v>
      </c>
      <c r="M125" s="484" t="s">
        <v>563</v>
      </c>
      <c r="N125" s="469">
        <v>3.6058989272000002</v>
      </c>
      <c r="O125" s="486">
        <f t="shared" si="13"/>
        <v>88345</v>
      </c>
      <c r="P125" s="461"/>
      <c r="Q125" s="37">
        <v>172.25344736842106</v>
      </c>
      <c r="R125" s="469">
        <v>0.2036</v>
      </c>
      <c r="S125" s="486">
        <f t="shared" si="14"/>
        <v>1332.6904716000001</v>
      </c>
      <c r="T125" s="461"/>
      <c r="U125" s="37">
        <v>5.0613157894736842</v>
      </c>
      <c r="V125" s="469">
        <v>1.7611399999999999</v>
      </c>
      <c r="W125" s="487">
        <f t="shared" si="15"/>
        <v>338.72005619999999</v>
      </c>
      <c r="X125" s="457"/>
      <c r="Y125" s="488"/>
      <c r="Z125" s="463"/>
      <c r="AA125" s="488"/>
      <c r="AB125" s="463"/>
      <c r="AC125" s="488"/>
      <c r="AD125" s="457"/>
      <c r="AE125" s="489"/>
      <c r="AF125" s="490"/>
      <c r="AG125" s="476">
        <f t="shared" si="16"/>
        <v>0</v>
      </c>
      <c r="AH125" s="457"/>
      <c r="AI125" s="37">
        <v>13.159421052631579</v>
      </c>
      <c r="AJ125" s="469">
        <v>0.2036</v>
      </c>
      <c r="AK125" s="486">
        <f t="shared" si="17"/>
        <v>101.81180880000001</v>
      </c>
      <c r="AL125" s="457"/>
      <c r="AM125" s="477">
        <f t="shared" si="18"/>
        <v>90118.222336599996</v>
      </c>
      <c r="AN125" s="464"/>
      <c r="AO125" s="402"/>
      <c r="AP125" s="402"/>
      <c r="AQ125" s="402">
        <f t="shared" si="20"/>
        <v>90118.222336599996</v>
      </c>
      <c r="AR125" s="478"/>
    </row>
    <row r="126" spans="1:44" customFormat="1" ht="15" x14ac:dyDescent="0.25">
      <c r="A126" s="205" t="s">
        <v>661</v>
      </c>
      <c r="B126" s="196" t="s">
        <v>662</v>
      </c>
      <c r="C126" s="196">
        <v>206110</v>
      </c>
      <c r="D126" s="457"/>
      <c r="E126" s="482"/>
      <c r="F126" s="483"/>
      <c r="G126" s="467">
        <v>8500</v>
      </c>
      <c r="H126" s="467">
        <v>6300</v>
      </c>
      <c r="I126" s="467">
        <v>7236</v>
      </c>
      <c r="J126" s="468">
        <f t="shared" ref="J126:J174" si="21">SUM(G126:I126)</f>
        <v>22036</v>
      </c>
      <c r="K126" s="484"/>
      <c r="L126" s="485">
        <f t="shared" si="12"/>
        <v>22036</v>
      </c>
      <c r="M126" s="484" t="s">
        <v>563</v>
      </c>
      <c r="N126" s="469">
        <v>3.6058989272000002</v>
      </c>
      <c r="O126" s="486">
        <f t="shared" si="13"/>
        <v>79460</v>
      </c>
      <c r="P126" s="461"/>
      <c r="Q126" s="37">
        <v>127.37644736842104</v>
      </c>
      <c r="R126" s="469">
        <v>0.2036</v>
      </c>
      <c r="S126" s="486">
        <f t="shared" si="14"/>
        <v>985.48609799999986</v>
      </c>
      <c r="T126" s="461"/>
      <c r="U126" s="37">
        <v>0</v>
      </c>
      <c r="V126" s="469">
        <v>1.7611399999999999</v>
      </c>
      <c r="W126" s="487">
        <f t="shared" si="15"/>
        <v>0</v>
      </c>
      <c r="X126" s="457"/>
      <c r="Y126" s="488"/>
      <c r="Z126" s="463"/>
      <c r="AA126" s="488"/>
      <c r="AB126" s="463"/>
      <c r="AC126" s="488"/>
      <c r="AD126" s="457"/>
      <c r="AE126" s="489"/>
      <c r="AF126" s="490"/>
      <c r="AG126" s="476">
        <f t="shared" si="16"/>
        <v>0</v>
      </c>
      <c r="AH126" s="457"/>
      <c r="AI126" s="37">
        <v>27.331105263157895</v>
      </c>
      <c r="AJ126" s="469">
        <v>0.2036</v>
      </c>
      <c r="AK126" s="486">
        <f t="shared" si="17"/>
        <v>211.45529519999999</v>
      </c>
      <c r="AL126" s="457"/>
      <c r="AM126" s="477">
        <f t="shared" si="18"/>
        <v>80656.941393200002</v>
      </c>
      <c r="AN126" s="464"/>
      <c r="AO126" s="402"/>
      <c r="AP126" s="402"/>
      <c r="AQ126" s="402">
        <f t="shared" ref="AQ126:AQ175" si="22">AP126+AO126+AM126</f>
        <v>80656.941393200002</v>
      </c>
      <c r="AR126" s="478"/>
    </row>
    <row r="127" spans="1:44" customFormat="1" ht="15" x14ac:dyDescent="0.25">
      <c r="A127" s="205" t="s">
        <v>663</v>
      </c>
      <c r="B127" s="196" t="s">
        <v>664</v>
      </c>
      <c r="C127" s="196">
        <v>206135</v>
      </c>
      <c r="D127" s="457"/>
      <c r="E127" s="482"/>
      <c r="F127" s="483"/>
      <c r="G127" s="467">
        <v>4560</v>
      </c>
      <c r="H127" s="467">
        <v>4200</v>
      </c>
      <c r="I127" s="467">
        <v>3960</v>
      </c>
      <c r="J127" s="468">
        <f t="shared" si="21"/>
        <v>12720</v>
      </c>
      <c r="K127" s="484"/>
      <c r="L127" s="485">
        <f t="shared" si="12"/>
        <v>12720</v>
      </c>
      <c r="M127" s="484" t="s">
        <v>579</v>
      </c>
      <c r="N127" s="469">
        <v>3.6058989272000002</v>
      </c>
      <c r="O127" s="486">
        <f t="shared" si="13"/>
        <v>45867</v>
      </c>
      <c r="P127" s="461"/>
      <c r="Q127" s="37">
        <v>141.54813157894739</v>
      </c>
      <c r="R127" s="469">
        <v>0.2036</v>
      </c>
      <c r="S127" s="486">
        <f t="shared" si="14"/>
        <v>1095.1295844000003</v>
      </c>
      <c r="T127" s="461"/>
      <c r="U127" s="37">
        <v>5.9048684210526314</v>
      </c>
      <c r="V127" s="469">
        <v>1.7611399999999999</v>
      </c>
      <c r="W127" s="487">
        <f t="shared" si="15"/>
        <v>395.1733989</v>
      </c>
      <c r="X127" s="457"/>
      <c r="Y127" s="488"/>
      <c r="Z127" s="463"/>
      <c r="AA127" s="488"/>
      <c r="AB127" s="463"/>
      <c r="AC127" s="488"/>
      <c r="AD127" s="457"/>
      <c r="AE127" s="489"/>
      <c r="AF127" s="490"/>
      <c r="AG127" s="476">
        <f t="shared" si="16"/>
        <v>0</v>
      </c>
      <c r="AH127" s="457"/>
      <c r="AI127" s="37">
        <v>15.183947368421054</v>
      </c>
      <c r="AJ127" s="469">
        <v>0.2036</v>
      </c>
      <c r="AK127" s="486">
        <f t="shared" si="17"/>
        <v>117.47516400000001</v>
      </c>
      <c r="AL127" s="457"/>
      <c r="AM127" s="477">
        <f t="shared" si="18"/>
        <v>47474.7781473</v>
      </c>
      <c r="AN127" s="464"/>
      <c r="AO127" s="402"/>
      <c r="AP127" s="402"/>
      <c r="AQ127" s="402">
        <f t="shared" si="22"/>
        <v>47474.7781473</v>
      </c>
      <c r="AR127" s="478"/>
    </row>
    <row r="128" spans="1:44" customFormat="1" ht="15" x14ac:dyDescent="0.25">
      <c r="A128" s="205" t="s">
        <v>665</v>
      </c>
      <c r="B128" s="196" t="s">
        <v>666</v>
      </c>
      <c r="C128" s="196">
        <v>509195</v>
      </c>
      <c r="D128" s="457"/>
      <c r="E128" s="482"/>
      <c r="F128" s="483"/>
      <c r="G128" s="467">
        <v>2340</v>
      </c>
      <c r="H128" s="467">
        <v>2730</v>
      </c>
      <c r="I128" s="467">
        <v>2340</v>
      </c>
      <c r="J128" s="468">
        <f t="shared" si="21"/>
        <v>7410</v>
      </c>
      <c r="K128" s="484"/>
      <c r="L128" s="485">
        <f t="shared" si="12"/>
        <v>7410</v>
      </c>
      <c r="M128" s="484" t="s">
        <v>563</v>
      </c>
      <c r="N128" s="469">
        <v>3.6058989272000002</v>
      </c>
      <c r="O128" s="486">
        <f t="shared" si="13"/>
        <v>26720</v>
      </c>
      <c r="P128" s="461"/>
      <c r="Q128" s="37">
        <v>104.93794736842106</v>
      </c>
      <c r="R128" s="469">
        <v>0.2036</v>
      </c>
      <c r="S128" s="486">
        <f t="shared" si="14"/>
        <v>811.88391120000006</v>
      </c>
      <c r="T128" s="461"/>
      <c r="U128" s="37">
        <v>0</v>
      </c>
      <c r="V128" s="469">
        <v>1.7611399999999999</v>
      </c>
      <c r="W128" s="487">
        <f t="shared" si="15"/>
        <v>0</v>
      </c>
      <c r="X128" s="457"/>
      <c r="Y128" s="488"/>
      <c r="Z128" s="463"/>
      <c r="AA128" s="488"/>
      <c r="AB128" s="463"/>
      <c r="AC128" s="488"/>
      <c r="AD128" s="457"/>
      <c r="AE128" s="489"/>
      <c r="AF128" s="490"/>
      <c r="AG128" s="476">
        <f t="shared" si="16"/>
        <v>0</v>
      </c>
      <c r="AH128" s="457"/>
      <c r="AI128" s="37">
        <v>5.9048684210526314</v>
      </c>
      <c r="AJ128" s="469">
        <v>0.2036</v>
      </c>
      <c r="AK128" s="486">
        <f t="shared" si="17"/>
        <v>45.684786000000003</v>
      </c>
      <c r="AL128" s="457"/>
      <c r="AM128" s="477">
        <f t="shared" si="18"/>
        <v>27577.5686972</v>
      </c>
      <c r="AN128" s="464"/>
      <c r="AO128" s="402"/>
      <c r="AP128" s="402"/>
      <c r="AQ128" s="402">
        <f t="shared" si="22"/>
        <v>27577.5686972</v>
      </c>
      <c r="AR128" s="478"/>
    </row>
    <row r="129" spans="1:44" customFormat="1" ht="15" x14ac:dyDescent="0.25">
      <c r="A129" s="524" t="s">
        <v>667</v>
      </c>
      <c r="B129" s="497"/>
      <c r="C129" s="497" t="s">
        <v>668</v>
      </c>
      <c r="D129" s="457"/>
      <c r="E129" s="482"/>
      <c r="F129" s="483"/>
      <c r="G129" s="467">
        <v>0</v>
      </c>
      <c r="H129" s="467">
        <v>0</v>
      </c>
      <c r="I129" s="467">
        <v>0</v>
      </c>
      <c r="J129" s="468">
        <f t="shared" si="21"/>
        <v>0</v>
      </c>
      <c r="K129" s="484"/>
      <c r="L129" s="485">
        <f t="shared" si="12"/>
        <v>0</v>
      </c>
      <c r="M129" s="484" t="s">
        <v>563</v>
      </c>
      <c r="N129" s="469">
        <v>3.6058989272000002</v>
      </c>
      <c r="O129" s="486">
        <f t="shared" si="13"/>
        <v>0</v>
      </c>
      <c r="P129" s="461"/>
      <c r="Q129" s="37">
        <v>0</v>
      </c>
      <c r="R129" s="469">
        <v>0.2036</v>
      </c>
      <c r="S129" s="486">
        <f t="shared" si="14"/>
        <v>0</v>
      </c>
      <c r="T129" s="461"/>
      <c r="U129" s="37">
        <v>0</v>
      </c>
      <c r="V129" s="469">
        <v>1.7611399999999999</v>
      </c>
      <c r="W129" s="487">
        <f t="shared" si="15"/>
        <v>0</v>
      </c>
      <c r="X129" s="457"/>
      <c r="Y129" s="488"/>
      <c r="Z129" s="463"/>
      <c r="AA129" s="488"/>
      <c r="AB129" s="463"/>
      <c r="AC129" s="488"/>
      <c r="AD129" s="457"/>
      <c r="AE129" s="489"/>
      <c r="AF129" s="490"/>
      <c r="AG129" s="476">
        <f t="shared" si="16"/>
        <v>0</v>
      </c>
      <c r="AH129" s="457"/>
      <c r="AI129" s="37">
        <v>0</v>
      </c>
      <c r="AJ129" s="469">
        <v>0.2036</v>
      </c>
      <c r="AK129" s="486">
        <f t="shared" si="17"/>
        <v>0</v>
      </c>
      <c r="AL129" s="457"/>
      <c r="AM129" s="477">
        <f t="shared" si="18"/>
        <v>0</v>
      </c>
      <c r="AN129" s="464"/>
      <c r="AO129" s="402"/>
      <c r="AP129" s="402"/>
      <c r="AQ129" s="402">
        <f t="shared" si="22"/>
        <v>0</v>
      </c>
      <c r="AR129" s="478" t="s">
        <v>943</v>
      </c>
    </row>
    <row r="130" spans="1:44" customFormat="1" ht="15" x14ac:dyDescent="0.25">
      <c r="A130" s="530" t="s">
        <v>669</v>
      </c>
      <c r="B130" s="530"/>
      <c r="C130" s="531" t="s">
        <v>670</v>
      </c>
      <c r="D130" s="457"/>
      <c r="E130" s="482"/>
      <c r="F130" s="483"/>
      <c r="G130" s="467">
        <v>3000</v>
      </c>
      <c r="H130" s="467">
        <v>2520</v>
      </c>
      <c r="I130" s="467">
        <v>4000</v>
      </c>
      <c r="J130" s="468">
        <f t="shared" si="21"/>
        <v>9520</v>
      </c>
      <c r="K130" s="484"/>
      <c r="L130" s="485">
        <f t="shared" si="12"/>
        <v>9520</v>
      </c>
      <c r="M130" s="484" t="s">
        <v>563</v>
      </c>
      <c r="N130" s="469">
        <v>3.6058989272000002</v>
      </c>
      <c r="O130" s="486">
        <f t="shared" si="13"/>
        <v>34328</v>
      </c>
      <c r="P130" s="461"/>
      <c r="Q130" s="37">
        <v>5.9048684210526314</v>
      </c>
      <c r="R130" s="469">
        <v>0.2036</v>
      </c>
      <c r="S130" s="486">
        <f t="shared" si="14"/>
        <v>45.684786000000003</v>
      </c>
      <c r="T130" s="461"/>
      <c r="U130" s="37">
        <v>0</v>
      </c>
      <c r="V130" s="469">
        <v>1.7611399999999999</v>
      </c>
      <c r="W130" s="487">
        <f t="shared" si="15"/>
        <v>0</v>
      </c>
      <c r="X130" s="457"/>
      <c r="Y130" s="488"/>
      <c r="Z130" s="463"/>
      <c r="AA130" s="488"/>
      <c r="AB130" s="463"/>
      <c r="AC130" s="488"/>
      <c r="AD130" s="457"/>
      <c r="AE130" s="489"/>
      <c r="AF130" s="490"/>
      <c r="AG130" s="476">
        <f t="shared" si="16"/>
        <v>0</v>
      </c>
      <c r="AH130" s="457"/>
      <c r="AI130" s="37">
        <v>0</v>
      </c>
      <c r="AJ130" s="469">
        <v>0.2036</v>
      </c>
      <c r="AK130" s="486">
        <f t="shared" si="17"/>
        <v>0</v>
      </c>
      <c r="AL130" s="457"/>
      <c r="AM130" s="477">
        <f t="shared" si="18"/>
        <v>34373.684785999998</v>
      </c>
      <c r="AN130" s="464"/>
      <c r="AO130" s="402"/>
      <c r="AP130" s="402"/>
      <c r="AQ130" s="402">
        <f t="shared" si="22"/>
        <v>34373.684785999998</v>
      </c>
      <c r="AR130" s="478"/>
    </row>
    <row r="131" spans="1:44" customFormat="1" ht="15" x14ac:dyDescent="0.25">
      <c r="A131" s="205" t="s">
        <v>671</v>
      </c>
      <c r="B131" s="196" t="s">
        <v>672</v>
      </c>
      <c r="C131" s="196" t="s">
        <v>673</v>
      </c>
      <c r="D131" s="457"/>
      <c r="E131" s="482"/>
      <c r="F131" s="483"/>
      <c r="G131" s="467">
        <v>6400</v>
      </c>
      <c r="H131" s="467">
        <v>2800</v>
      </c>
      <c r="I131" s="467">
        <v>5910</v>
      </c>
      <c r="J131" s="468">
        <f t="shared" si="21"/>
        <v>15110</v>
      </c>
      <c r="K131" s="484"/>
      <c r="L131" s="485">
        <f t="shared" si="12"/>
        <v>15110</v>
      </c>
      <c r="M131" s="484" t="s">
        <v>579</v>
      </c>
      <c r="N131" s="469">
        <v>3.6058989272000002</v>
      </c>
      <c r="O131" s="486">
        <f t="shared" si="13"/>
        <v>54485</v>
      </c>
      <c r="P131" s="461"/>
      <c r="Q131" s="37">
        <v>86.885921052631574</v>
      </c>
      <c r="R131" s="469">
        <v>0.2036</v>
      </c>
      <c r="S131" s="486">
        <f t="shared" si="14"/>
        <v>672.21899399999995</v>
      </c>
      <c r="T131" s="461"/>
      <c r="U131" s="37">
        <v>5.0613157894736842</v>
      </c>
      <c r="V131" s="469">
        <v>1.7611399999999999</v>
      </c>
      <c r="W131" s="487">
        <f t="shared" si="15"/>
        <v>338.72005619999999</v>
      </c>
      <c r="X131" s="457"/>
      <c r="Y131" s="488"/>
      <c r="Z131" s="463"/>
      <c r="AA131" s="488"/>
      <c r="AB131" s="463"/>
      <c r="AC131" s="488"/>
      <c r="AD131" s="457"/>
      <c r="AE131" s="489"/>
      <c r="AF131" s="490"/>
      <c r="AG131" s="476">
        <f t="shared" si="16"/>
        <v>0</v>
      </c>
      <c r="AH131" s="457"/>
      <c r="AI131" s="37">
        <v>0</v>
      </c>
      <c r="AJ131" s="469">
        <v>0.2036</v>
      </c>
      <c r="AK131" s="486">
        <f t="shared" si="17"/>
        <v>0</v>
      </c>
      <c r="AL131" s="457"/>
      <c r="AM131" s="477">
        <f t="shared" si="18"/>
        <v>55495.939050200002</v>
      </c>
      <c r="AN131" s="464"/>
      <c r="AO131" s="402"/>
      <c r="AP131" s="402"/>
      <c r="AQ131" s="402">
        <f t="shared" si="22"/>
        <v>55495.939050200002</v>
      </c>
      <c r="AR131" s="478"/>
    </row>
    <row r="132" spans="1:44" customFormat="1" ht="15" x14ac:dyDescent="0.25">
      <c r="A132" s="205" t="s">
        <v>674</v>
      </c>
      <c r="B132" s="196" t="s">
        <v>675</v>
      </c>
      <c r="C132" s="196">
        <v>509199</v>
      </c>
      <c r="D132" s="457"/>
      <c r="E132" s="482"/>
      <c r="F132" s="483"/>
      <c r="G132" s="467">
        <v>4668</v>
      </c>
      <c r="H132" s="467">
        <v>2310</v>
      </c>
      <c r="I132" s="467">
        <v>3600</v>
      </c>
      <c r="J132" s="468">
        <f t="shared" si="21"/>
        <v>10578</v>
      </c>
      <c r="K132" s="484"/>
      <c r="L132" s="485">
        <f t="shared" si="12"/>
        <v>10578</v>
      </c>
      <c r="M132" s="484" t="s">
        <v>563</v>
      </c>
      <c r="N132" s="469">
        <v>3.6058989272000002</v>
      </c>
      <c r="O132" s="486">
        <f t="shared" si="13"/>
        <v>38143</v>
      </c>
      <c r="P132" s="461"/>
      <c r="Q132" s="37">
        <v>246.31736842105263</v>
      </c>
      <c r="R132" s="469">
        <v>0.2036</v>
      </c>
      <c r="S132" s="486">
        <f t="shared" si="14"/>
        <v>1905.708216</v>
      </c>
      <c r="T132" s="461"/>
      <c r="U132" s="37">
        <v>5.0613157894736842</v>
      </c>
      <c r="V132" s="469">
        <v>1.7611399999999999</v>
      </c>
      <c r="W132" s="487">
        <f t="shared" si="15"/>
        <v>338.72005619999999</v>
      </c>
      <c r="X132" s="457"/>
      <c r="Y132" s="488"/>
      <c r="Z132" s="463"/>
      <c r="AA132" s="488"/>
      <c r="AB132" s="463"/>
      <c r="AC132" s="488"/>
      <c r="AD132" s="457"/>
      <c r="AE132" s="489"/>
      <c r="AF132" s="490"/>
      <c r="AG132" s="476">
        <f t="shared" si="16"/>
        <v>0</v>
      </c>
      <c r="AH132" s="457"/>
      <c r="AI132" s="37">
        <v>47.238947368421051</v>
      </c>
      <c r="AJ132" s="469">
        <v>0.2036</v>
      </c>
      <c r="AK132" s="486">
        <f t="shared" si="17"/>
        <v>365.47828800000002</v>
      </c>
      <c r="AL132" s="457"/>
      <c r="AM132" s="477">
        <f t="shared" si="18"/>
        <v>40752.906560199997</v>
      </c>
      <c r="AN132" s="464"/>
      <c r="AO132" s="402"/>
      <c r="AP132" s="402"/>
      <c r="AQ132" s="402">
        <f t="shared" si="22"/>
        <v>40752.906560199997</v>
      </c>
      <c r="AR132" s="478"/>
    </row>
    <row r="133" spans="1:44" customFormat="1" ht="15" x14ac:dyDescent="0.25">
      <c r="A133" s="205" t="s">
        <v>676</v>
      </c>
      <c r="B133" s="196" t="s">
        <v>677</v>
      </c>
      <c r="C133" s="196">
        <v>509197</v>
      </c>
      <c r="D133" s="457"/>
      <c r="E133" s="482"/>
      <c r="F133" s="483"/>
      <c r="G133" s="467">
        <v>7600</v>
      </c>
      <c r="H133" s="467">
        <v>6100</v>
      </c>
      <c r="I133" s="467">
        <v>6500</v>
      </c>
      <c r="J133" s="468">
        <f t="shared" si="21"/>
        <v>20200</v>
      </c>
      <c r="K133" s="484"/>
      <c r="L133" s="485">
        <f t="shared" si="12"/>
        <v>20200</v>
      </c>
      <c r="M133" s="484" t="s">
        <v>563</v>
      </c>
      <c r="N133" s="469">
        <v>3.6058989272000002</v>
      </c>
      <c r="O133" s="486">
        <f t="shared" si="13"/>
        <v>72839</v>
      </c>
      <c r="P133" s="461"/>
      <c r="Q133" s="37">
        <v>460.57973684210532</v>
      </c>
      <c r="R133" s="469">
        <v>0.2036</v>
      </c>
      <c r="S133" s="486">
        <f t="shared" si="14"/>
        <v>3563.4133080000006</v>
      </c>
      <c r="T133" s="461"/>
      <c r="U133" s="37">
        <v>5.9048684210526314</v>
      </c>
      <c r="V133" s="469">
        <v>1.7611399999999999</v>
      </c>
      <c r="W133" s="487">
        <f t="shared" si="15"/>
        <v>395.1733989</v>
      </c>
      <c r="X133" s="457"/>
      <c r="Y133" s="488"/>
      <c r="Z133" s="463"/>
      <c r="AA133" s="488"/>
      <c r="AB133" s="463"/>
      <c r="AC133" s="488"/>
      <c r="AD133" s="457"/>
      <c r="AE133" s="489"/>
      <c r="AF133" s="490"/>
      <c r="AG133" s="476">
        <f t="shared" si="16"/>
        <v>0</v>
      </c>
      <c r="AH133" s="457"/>
      <c r="AI133" s="37">
        <v>75.919736842105266</v>
      </c>
      <c r="AJ133" s="469">
        <v>0.2036</v>
      </c>
      <c r="AK133" s="486">
        <f t="shared" si="17"/>
        <v>587.37581999999998</v>
      </c>
      <c r="AL133" s="457"/>
      <c r="AM133" s="477">
        <f t="shared" si="18"/>
        <v>77384.962526899995</v>
      </c>
      <c r="AN133" s="464"/>
      <c r="AO133" s="402"/>
      <c r="AP133" s="402"/>
      <c r="AQ133" s="402">
        <f t="shared" si="22"/>
        <v>77384.962526899995</v>
      </c>
      <c r="AR133" s="478"/>
    </row>
    <row r="134" spans="1:44" customFormat="1" ht="15" x14ac:dyDescent="0.25">
      <c r="A134" s="205" t="s">
        <v>678</v>
      </c>
      <c r="B134" s="196" t="s">
        <v>679</v>
      </c>
      <c r="C134" s="196" t="s">
        <v>680</v>
      </c>
      <c r="D134" s="457"/>
      <c r="E134" s="482"/>
      <c r="F134" s="483"/>
      <c r="G134" s="467">
        <v>4512</v>
      </c>
      <c r="H134" s="467">
        <v>5264</v>
      </c>
      <c r="I134" s="467">
        <v>4512</v>
      </c>
      <c r="J134" s="468">
        <f t="shared" si="21"/>
        <v>14288</v>
      </c>
      <c r="K134" s="484"/>
      <c r="L134" s="485">
        <f t="shared" si="12"/>
        <v>14288</v>
      </c>
      <c r="M134" s="484" t="s">
        <v>579</v>
      </c>
      <c r="N134" s="469">
        <v>3.6058989272000002</v>
      </c>
      <c r="O134" s="486">
        <f t="shared" si="13"/>
        <v>51521</v>
      </c>
      <c r="P134" s="461"/>
      <c r="Q134" s="37">
        <v>0</v>
      </c>
      <c r="R134" s="469">
        <v>0.2036</v>
      </c>
      <c r="S134" s="486">
        <f t="shared" si="14"/>
        <v>0</v>
      </c>
      <c r="T134" s="461"/>
      <c r="U134" s="37">
        <v>0</v>
      </c>
      <c r="V134" s="469">
        <v>1.7611399999999999</v>
      </c>
      <c r="W134" s="487">
        <f t="shared" si="15"/>
        <v>0</v>
      </c>
      <c r="X134" s="457"/>
      <c r="Y134" s="488"/>
      <c r="Z134" s="463"/>
      <c r="AA134" s="488"/>
      <c r="AB134" s="463"/>
      <c r="AC134" s="488"/>
      <c r="AD134" s="457"/>
      <c r="AE134" s="489"/>
      <c r="AF134" s="490"/>
      <c r="AG134" s="476">
        <f t="shared" si="16"/>
        <v>0</v>
      </c>
      <c r="AH134" s="457"/>
      <c r="AI134" s="37">
        <v>25.81271052631579</v>
      </c>
      <c r="AJ134" s="469">
        <v>0.2036</v>
      </c>
      <c r="AK134" s="486">
        <f t="shared" si="17"/>
        <v>199.7077788</v>
      </c>
      <c r="AL134" s="457"/>
      <c r="AM134" s="477">
        <f t="shared" si="18"/>
        <v>51720.707778800002</v>
      </c>
      <c r="AN134" s="464"/>
      <c r="AO134" s="402"/>
      <c r="AP134" s="402"/>
      <c r="AQ134" s="402">
        <f t="shared" si="22"/>
        <v>51720.707778800002</v>
      </c>
      <c r="AR134" s="478"/>
    </row>
    <row r="135" spans="1:44" customFormat="1" ht="15" x14ac:dyDescent="0.25">
      <c r="A135" s="499" t="s">
        <v>681</v>
      </c>
      <c r="B135" s="500"/>
      <c r="C135" s="500" t="s">
        <v>682</v>
      </c>
      <c r="D135" s="457"/>
      <c r="E135" s="482"/>
      <c r="F135" s="483"/>
      <c r="G135" s="467">
        <v>1440</v>
      </c>
      <c r="H135" s="467">
        <v>2100</v>
      </c>
      <c r="I135" s="467">
        <v>2160</v>
      </c>
      <c r="J135" s="468">
        <f t="shared" si="21"/>
        <v>5700</v>
      </c>
      <c r="K135" s="484"/>
      <c r="L135" s="485">
        <f t="shared" si="12"/>
        <v>5700</v>
      </c>
      <c r="M135" s="484" t="s">
        <v>579</v>
      </c>
      <c r="N135" s="469">
        <v>3.6058989272000002</v>
      </c>
      <c r="O135" s="486">
        <f t="shared" si="13"/>
        <v>20554</v>
      </c>
      <c r="P135" s="461"/>
      <c r="Q135" s="37">
        <v>150</v>
      </c>
      <c r="R135" s="469">
        <v>0.2036</v>
      </c>
      <c r="S135" s="486">
        <f t="shared" si="14"/>
        <v>1160.52</v>
      </c>
      <c r="T135" s="461"/>
      <c r="U135" s="37">
        <v>9.3137254901960791</v>
      </c>
      <c r="V135" s="469">
        <v>1.7611399999999999</v>
      </c>
      <c r="W135" s="487">
        <f t="shared" si="15"/>
        <v>623.30543137254904</v>
      </c>
      <c r="X135" s="457"/>
      <c r="Y135" s="488"/>
      <c r="Z135" s="463"/>
      <c r="AA135" s="488"/>
      <c r="AB135" s="463"/>
      <c r="AC135" s="488"/>
      <c r="AD135" s="457"/>
      <c r="AE135" s="489"/>
      <c r="AF135" s="490"/>
      <c r="AG135" s="476">
        <f t="shared" si="16"/>
        <v>0</v>
      </c>
      <c r="AH135" s="457"/>
      <c r="AI135" s="37">
        <v>150</v>
      </c>
      <c r="AJ135" s="469">
        <v>0.2036</v>
      </c>
      <c r="AK135" s="486">
        <f t="shared" si="17"/>
        <v>1160.52</v>
      </c>
      <c r="AL135" s="457"/>
      <c r="AM135" s="477">
        <f t="shared" si="18"/>
        <v>23498.345431372549</v>
      </c>
      <c r="AN135" s="464"/>
      <c r="AO135" s="402"/>
      <c r="AP135" s="402"/>
      <c r="AQ135" s="402">
        <f t="shared" si="22"/>
        <v>23498.345431372549</v>
      </c>
      <c r="AR135" s="478"/>
    </row>
    <row r="136" spans="1:44" customFormat="1" ht="15" x14ac:dyDescent="0.25">
      <c r="A136" s="205" t="s">
        <v>683</v>
      </c>
      <c r="B136" s="196" t="s">
        <v>684</v>
      </c>
      <c r="C136" s="196">
        <v>206117</v>
      </c>
      <c r="D136" s="457"/>
      <c r="E136" s="482"/>
      <c r="F136" s="483"/>
      <c r="G136" s="467">
        <v>10116</v>
      </c>
      <c r="H136" s="467">
        <v>6258</v>
      </c>
      <c r="I136" s="467">
        <v>7500</v>
      </c>
      <c r="J136" s="468">
        <f t="shared" si="21"/>
        <v>23874</v>
      </c>
      <c r="K136" s="484"/>
      <c r="L136" s="485">
        <f t="shared" si="12"/>
        <v>23874</v>
      </c>
      <c r="M136" s="484" t="s">
        <v>563</v>
      </c>
      <c r="N136" s="469">
        <v>3.6058989272000002</v>
      </c>
      <c r="O136" s="486">
        <f t="shared" si="13"/>
        <v>86087</v>
      </c>
      <c r="P136" s="461"/>
      <c r="Q136" s="37">
        <v>21.932368421052633</v>
      </c>
      <c r="R136" s="469">
        <v>0.2036</v>
      </c>
      <c r="S136" s="486">
        <f t="shared" si="14"/>
        <v>169.68634800000001</v>
      </c>
      <c r="T136" s="461"/>
      <c r="U136" s="37">
        <v>0</v>
      </c>
      <c r="V136" s="469">
        <v>1.7611399999999999</v>
      </c>
      <c r="W136" s="487">
        <f t="shared" si="15"/>
        <v>0</v>
      </c>
      <c r="X136" s="457"/>
      <c r="Y136" s="488"/>
      <c r="Z136" s="463"/>
      <c r="AA136" s="488"/>
      <c r="AB136" s="463"/>
      <c r="AC136" s="488"/>
      <c r="AD136" s="457"/>
      <c r="AE136" s="489"/>
      <c r="AF136" s="490"/>
      <c r="AG136" s="476">
        <f t="shared" si="16"/>
        <v>0</v>
      </c>
      <c r="AH136" s="457"/>
      <c r="AI136" s="37">
        <v>5.0613157894736842</v>
      </c>
      <c r="AJ136" s="469">
        <v>0.2036</v>
      </c>
      <c r="AK136" s="486">
        <f t="shared" si="17"/>
        <v>39.158388000000002</v>
      </c>
      <c r="AL136" s="457"/>
      <c r="AM136" s="477">
        <f t="shared" si="18"/>
        <v>86295.844735999999</v>
      </c>
      <c r="AN136" s="464"/>
      <c r="AO136" s="402"/>
      <c r="AP136" s="402"/>
      <c r="AQ136" s="402">
        <f t="shared" si="22"/>
        <v>86295.844735999999</v>
      </c>
      <c r="AR136" s="478"/>
    </row>
    <row r="137" spans="1:44" customFormat="1" ht="15" x14ac:dyDescent="0.25">
      <c r="A137" s="205" t="s">
        <v>685</v>
      </c>
      <c r="B137" s="196" t="s">
        <v>686</v>
      </c>
      <c r="C137" s="196">
        <v>206141</v>
      </c>
      <c r="D137" s="457"/>
      <c r="E137" s="482"/>
      <c r="F137" s="483"/>
      <c r="G137" s="467">
        <v>5220</v>
      </c>
      <c r="H137" s="467">
        <v>4592</v>
      </c>
      <c r="I137" s="467">
        <v>4600</v>
      </c>
      <c r="J137" s="468">
        <f t="shared" si="21"/>
        <v>14412</v>
      </c>
      <c r="K137" s="484"/>
      <c r="L137" s="485">
        <f t="shared" si="12"/>
        <v>14412</v>
      </c>
      <c r="M137" s="484" t="s">
        <v>579</v>
      </c>
      <c r="N137" s="469">
        <v>3.6058989272000002</v>
      </c>
      <c r="O137" s="486">
        <f t="shared" si="13"/>
        <v>51968</v>
      </c>
      <c r="P137" s="461"/>
      <c r="Q137" s="37">
        <v>49.938315789473684</v>
      </c>
      <c r="R137" s="469">
        <v>0.2036</v>
      </c>
      <c r="S137" s="486">
        <f t="shared" si="14"/>
        <v>386.3627616</v>
      </c>
      <c r="T137" s="461"/>
      <c r="U137" s="37">
        <v>0</v>
      </c>
      <c r="V137" s="469">
        <v>1.7611399999999999</v>
      </c>
      <c r="W137" s="487">
        <f t="shared" si="15"/>
        <v>0</v>
      </c>
      <c r="X137" s="457"/>
      <c r="Y137" s="488"/>
      <c r="Z137" s="463"/>
      <c r="AA137" s="488"/>
      <c r="AB137" s="463"/>
      <c r="AC137" s="488"/>
      <c r="AD137" s="457"/>
      <c r="AE137" s="489"/>
      <c r="AF137" s="490"/>
      <c r="AG137" s="476">
        <f t="shared" si="16"/>
        <v>0</v>
      </c>
      <c r="AH137" s="457"/>
      <c r="AI137" s="37">
        <v>4.049052631578947</v>
      </c>
      <c r="AJ137" s="469">
        <v>0.2036</v>
      </c>
      <c r="AK137" s="486">
        <f t="shared" si="17"/>
        <v>31.3267104</v>
      </c>
      <c r="AL137" s="457"/>
      <c r="AM137" s="477">
        <f t="shared" si="18"/>
        <v>52385.689471999998</v>
      </c>
      <c r="AN137" s="464"/>
      <c r="AO137" s="402"/>
      <c r="AP137" s="402"/>
      <c r="AQ137" s="402">
        <f t="shared" si="22"/>
        <v>52385.689471999998</v>
      </c>
      <c r="AR137" s="478"/>
    </row>
    <row r="138" spans="1:44" customFormat="1" ht="15" x14ac:dyDescent="0.25">
      <c r="A138" s="205" t="s">
        <v>687</v>
      </c>
      <c r="B138" s="196" t="s">
        <v>688</v>
      </c>
      <c r="C138" s="196" t="s">
        <v>689</v>
      </c>
      <c r="D138" s="457"/>
      <c r="E138" s="482"/>
      <c r="F138" s="483"/>
      <c r="G138" s="467">
        <v>6990</v>
      </c>
      <c r="H138" s="467">
        <v>5880</v>
      </c>
      <c r="I138" s="467">
        <v>6282</v>
      </c>
      <c r="J138" s="468">
        <f t="shared" si="21"/>
        <v>19152</v>
      </c>
      <c r="K138" s="484"/>
      <c r="L138" s="485">
        <f t="shared" si="12"/>
        <v>19152</v>
      </c>
      <c r="M138" s="484" t="s">
        <v>563</v>
      </c>
      <c r="N138" s="469">
        <v>3.6058989272000002</v>
      </c>
      <c r="O138" s="486">
        <f t="shared" si="13"/>
        <v>69060</v>
      </c>
      <c r="P138" s="461"/>
      <c r="Q138" s="37">
        <v>72.714236842105265</v>
      </c>
      <c r="R138" s="469">
        <v>0.2036</v>
      </c>
      <c r="S138" s="486">
        <f t="shared" si="14"/>
        <v>562.57550760000004</v>
      </c>
      <c r="T138" s="461"/>
      <c r="U138" s="37">
        <v>16.0275</v>
      </c>
      <c r="V138" s="469">
        <v>1.7611399999999999</v>
      </c>
      <c r="W138" s="487">
        <f t="shared" si="15"/>
        <v>1072.6135113</v>
      </c>
      <c r="X138" s="457"/>
      <c r="Y138" s="488"/>
      <c r="Z138" s="463"/>
      <c r="AA138" s="488"/>
      <c r="AB138" s="463"/>
      <c r="AC138" s="488"/>
      <c r="AD138" s="457"/>
      <c r="AE138" s="489"/>
      <c r="AF138" s="490"/>
      <c r="AG138" s="476">
        <f t="shared" si="16"/>
        <v>0</v>
      </c>
      <c r="AH138" s="457"/>
      <c r="AI138" s="37">
        <v>5.0613157894736842</v>
      </c>
      <c r="AJ138" s="469">
        <v>0.2036</v>
      </c>
      <c r="AK138" s="486">
        <f t="shared" si="17"/>
        <v>39.158388000000002</v>
      </c>
      <c r="AL138" s="457"/>
      <c r="AM138" s="477">
        <f t="shared" si="18"/>
        <v>70734.347406899993</v>
      </c>
      <c r="AN138" s="464"/>
      <c r="AO138" s="402"/>
      <c r="AP138" s="402"/>
      <c r="AQ138" s="402">
        <f t="shared" si="22"/>
        <v>70734.347406899993</v>
      </c>
      <c r="AR138" s="478"/>
    </row>
    <row r="139" spans="1:44" customFormat="1" ht="15" x14ac:dyDescent="0.25">
      <c r="A139" s="205" t="s">
        <v>690</v>
      </c>
      <c r="B139" s="196" t="s">
        <v>691</v>
      </c>
      <c r="C139" s="196">
        <v>258404</v>
      </c>
      <c r="D139" s="457"/>
      <c r="E139" s="482"/>
      <c r="F139" s="483"/>
      <c r="G139" s="467">
        <v>7900</v>
      </c>
      <c r="H139" s="467">
        <v>3800</v>
      </c>
      <c r="I139" s="467">
        <v>6800</v>
      </c>
      <c r="J139" s="468">
        <f t="shared" si="21"/>
        <v>18500</v>
      </c>
      <c r="K139" s="484"/>
      <c r="L139" s="485">
        <f t="shared" si="12"/>
        <v>18500</v>
      </c>
      <c r="M139" s="484" t="s">
        <v>563</v>
      </c>
      <c r="N139" s="469">
        <v>3.6058989272000002</v>
      </c>
      <c r="O139" s="486">
        <f t="shared" si="13"/>
        <v>66709</v>
      </c>
      <c r="P139" s="461"/>
      <c r="Q139" s="37">
        <v>744.68826315789465</v>
      </c>
      <c r="R139" s="469">
        <v>0.2036</v>
      </c>
      <c r="S139" s="486">
        <f t="shared" si="14"/>
        <v>5761.5041543999996</v>
      </c>
      <c r="T139" s="461"/>
      <c r="U139" s="37">
        <v>26.150131578947367</v>
      </c>
      <c r="V139" s="469">
        <v>1.7611399999999999</v>
      </c>
      <c r="W139" s="487">
        <f t="shared" si="15"/>
        <v>1750.0536236999999</v>
      </c>
      <c r="X139" s="457"/>
      <c r="Y139" s="488"/>
      <c r="Z139" s="463"/>
      <c r="AA139" s="488"/>
      <c r="AB139" s="463"/>
      <c r="AC139" s="488"/>
      <c r="AD139" s="457"/>
      <c r="AE139" s="489"/>
      <c r="AF139" s="490"/>
      <c r="AG139" s="476">
        <f t="shared" si="16"/>
        <v>0</v>
      </c>
      <c r="AH139" s="457"/>
      <c r="AI139" s="37">
        <v>68.327763157894736</v>
      </c>
      <c r="AJ139" s="469">
        <v>0.2036</v>
      </c>
      <c r="AK139" s="486">
        <f t="shared" si="17"/>
        <v>528.638238</v>
      </c>
      <c r="AL139" s="457"/>
      <c r="AM139" s="477">
        <f t="shared" si="18"/>
        <v>74749.196016100002</v>
      </c>
      <c r="AN139" s="464"/>
      <c r="AO139" s="402"/>
      <c r="AP139" s="402"/>
      <c r="AQ139" s="402">
        <f t="shared" si="22"/>
        <v>74749.196016100002</v>
      </c>
      <c r="AR139" s="478"/>
    </row>
    <row r="140" spans="1:44" customFormat="1" ht="15" x14ac:dyDescent="0.25">
      <c r="A140" s="205" t="s">
        <v>692</v>
      </c>
      <c r="B140" s="196" t="s">
        <v>693</v>
      </c>
      <c r="C140" s="196">
        <v>258405</v>
      </c>
      <c r="D140" s="457"/>
      <c r="E140" s="482"/>
      <c r="F140" s="483"/>
      <c r="G140" s="467">
        <v>7992</v>
      </c>
      <c r="H140" s="467">
        <v>3388</v>
      </c>
      <c r="I140" s="467">
        <v>5520</v>
      </c>
      <c r="J140" s="468">
        <f t="shared" si="21"/>
        <v>16900</v>
      </c>
      <c r="K140" s="484"/>
      <c r="L140" s="485">
        <f t="shared" si="12"/>
        <v>16900</v>
      </c>
      <c r="M140" s="484" t="s">
        <v>563</v>
      </c>
      <c r="N140" s="469">
        <v>3.6058989272000002</v>
      </c>
      <c r="O140" s="486">
        <f t="shared" si="13"/>
        <v>60940</v>
      </c>
      <c r="P140" s="461"/>
      <c r="Q140" s="37">
        <v>250.53513157894736</v>
      </c>
      <c r="R140" s="469">
        <v>0.2036</v>
      </c>
      <c r="S140" s="486">
        <f t="shared" si="14"/>
        <v>1938.3402059999999</v>
      </c>
      <c r="T140" s="461"/>
      <c r="U140" s="37">
        <v>10.122631578947368</v>
      </c>
      <c r="V140" s="469">
        <v>1.7611399999999999</v>
      </c>
      <c r="W140" s="487">
        <f t="shared" si="15"/>
        <v>677.44011239999998</v>
      </c>
      <c r="X140" s="457"/>
      <c r="Y140" s="488"/>
      <c r="Z140" s="463"/>
      <c r="AA140" s="488"/>
      <c r="AB140" s="463"/>
      <c r="AC140" s="488"/>
      <c r="AD140" s="457"/>
      <c r="AE140" s="489"/>
      <c r="AF140" s="490"/>
      <c r="AG140" s="476">
        <f t="shared" si="16"/>
        <v>0</v>
      </c>
      <c r="AH140" s="457"/>
      <c r="AI140" s="37">
        <v>27.837236842105266</v>
      </c>
      <c r="AJ140" s="469">
        <v>0.2036</v>
      </c>
      <c r="AK140" s="486">
        <f t="shared" si="17"/>
        <v>215.37113400000004</v>
      </c>
      <c r="AL140" s="457"/>
      <c r="AM140" s="477">
        <f t="shared" si="18"/>
        <v>63771.151452400001</v>
      </c>
      <c r="AN140" s="464"/>
      <c r="AO140" s="402"/>
      <c r="AP140" s="402"/>
      <c r="AQ140" s="402">
        <f t="shared" si="22"/>
        <v>63771.151452400001</v>
      </c>
      <c r="AR140" s="478"/>
    </row>
    <row r="141" spans="1:44" customFormat="1" ht="15" x14ac:dyDescent="0.25">
      <c r="A141" s="205" t="s">
        <v>694</v>
      </c>
      <c r="B141" s="196" t="s">
        <v>695</v>
      </c>
      <c r="C141" s="196">
        <v>258406</v>
      </c>
      <c r="D141" s="457"/>
      <c r="E141" s="482"/>
      <c r="F141" s="483"/>
      <c r="G141" s="467">
        <v>10400</v>
      </c>
      <c r="H141" s="467">
        <v>7520</v>
      </c>
      <c r="I141" s="467">
        <v>8150</v>
      </c>
      <c r="J141" s="468">
        <f t="shared" si="21"/>
        <v>26070</v>
      </c>
      <c r="K141" s="484"/>
      <c r="L141" s="485">
        <f t="shared" si="12"/>
        <v>26070</v>
      </c>
      <c r="M141" s="484" t="s">
        <v>563</v>
      </c>
      <c r="N141" s="469">
        <v>3.6058989272000002</v>
      </c>
      <c r="O141" s="486">
        <f t="shared" si="13"/>
        <v>94006</v>
      </c>
      <c r="P141" s="461"/>
      <c r="Q141" s="37">
        <v>248.34189473684211</v>
      </c>
      <c r="R141" s="469">
        <v>0.2036</v>
      </c>
      <c r="S141" s="486">
        <f t="shared" si="14"/>
        <v>1921.3715712000001</v>
      </c>
      <c r="T141" s="461"/>
      <c r="U141" s="37">
        <v>10.122631578947368</v>
      </c>
      <c r="V141" s="469">
        <v>1.7611399999999999</v>
      </c>
      <c r="W141" s="487">
        <f t="shared" si="15"/>
        <v>677.44011239999998</v>
      </c>
      <c r="X141" s="457"/>
      <c r="Y141" s="488"/>
      <c r="Z141" s="463"/>
      <c r="AA141" s="488"/>
      <c r="AB141" s="463"/>
      <c r="AC141" s="488"/>
      <c r="AD141" s="457"/>
      <c r="AE141" s="489"/>
      <c r="AF141" s="490"/>
      <c r="AG141" s="476">
        <f t="shared" si="16"/>
        <v>0</v>
      </c>
      <c r="AH141" s="457"/>
      <c r="AI141" s="37">
        <v>9.7852105263157885</v>
      </c>
      <c r="AJ141" s="469">
        <v>0.2036</v>
      </c>
      <c r="AK141" s="486">
        <f t="shared" si="17"/>
        <v>75.706216799999993</v>
      </c>
      <c r="AL141" s="457"/>
      <c r="AM141" s="477">
        <f t="shared" si="18"/>
        <v>96680.517900399995</v>
      </c>
      <c r="AN141" s="464"/>
      <c r="AO141" s="402"/>
      <c r="AP141" s="402"/>
      <c r="AQ141" s="402">
        <f t="shared" si="22"/>
        <v>96680.517900399995</v>
      </c>
      <c r="AR141" s="478"/>
    </row>
    <row r="142" spans="1:44" customFormat="1" ht="15" x14ac:dyDescent="0.25">
      <c r="A142" s="205" t="s">
        <v>696</v>
      </c>
      <c r="B142" s="196" t="s">
        <v>697</v>
      </c>
      <c r="C142" s="196">
        <v>206160</v>
      </c>
      <c r="D142" s="457"/>
      <c r="E142" s="482"/>
      <c r="F142" s="483"/>
      <c r="G142" s="467">
        <v>3600</v>
      </c>
      <c r="H142" s="467">
        <v>800</v>
      </c>
      <c r="I142" s="467">
        <v>2200</v>
      </c>
      <c r="J142" s="468">
        <f t="shared" si="21"/>
        <v>6600</v>
      </c>
      <c r="K142" s="484"/>
      <c r="L142" s="485">
        <f t="shared" si="12"/>
        <v>6600</v>
      </c>
      <c r="M142" s="484" t="s">
        <v>579</v>
      </c>
      <c r="N142" s="469">
        <v>3.6058989272000002</v>
      </c>
      <c r="O142" s="486">
        <f t="shared" si="13"/>
        <v>23799</v>
      </c>
      <c r="P142" s="461"/>
      <c r="Q142" s="37">
        <v>149.81494736842106</v>
      </c>
      <c r="R142" s="469">
        <v>0.2036</v>
      </c>
      <c r="S142" s="486">
        <f t="shared" si="14"/>
        <v>1159.0882848000001</v>
      </c>
      <c r="T142" s="461"/>
      <c r="U142" s="37">
        <v>0</v>
      </c>
      <c r="V142" s="469">
        <v>1.7611399999999999</v>
      </c>
      <c r="W142" s="487">
        <f t="shared" si="15"/>
        <v>0</v>
      </c>
      <c r="X142" s="457"/>
      <c r="Y142" s="488"/>
      <c r="Z142" s="463"/>
      <c r="AA142" s="488"/>
      <c r="AB142" s="463"/>
      <c r="AC142" s="488"/>
      <c r="AD142" s="457"/>
      <c r="AE142" s="489"/>
      <c r="AF142" s="490"/>
      <c r="AG142" s="476">
        <f t="shared" si="16"/>
        <v>0</v>
      </c>
      <c r="AH142" s="457"/>
      <c r="AI142" s="37">
        <v>1.0122631578947368</v>
      </c>
      <c r="AJ142" s="469">
        <v>0.2036</v>
      </c>
      <c r="AK142" s="486">
        <f t="shared" si="17"/>
        <v>7.8316775999999999</v>
      </c>
      <c r="AL142" s="457"/>
      <c r="AM142" s="477">
        <f t="shared" si="18"/>
        <v>24965.919962399999</v>
      </c>
      <c r="AN142" s="464"/>
      <c r="AO142" s="402"/>
      <c r="AP142" s="402"/>
      <c r="AQ142" s="402">
        <f t="shared" si="22"/>
        <v>24965.919962399999</v>
      </c>
      <c r="AR142" s="478"/>
    </row>
    <row r="143" spans="1:44" customFormat="1" ht="15" x14ac:dyDescent="0.25">
      <c r="A143" s="205" t="s">
        <v>698</v>
      </c>
      <c r="B143" s="196" t="s">
        <v>699</v>
      </c>
      <c r="C143" s="196" t="s">
        <v>700</v>
      </c>
      <c r="D143" s="457"/>
      <c r="E143" s="482"/>
      <c r="F143" s="483"/>
      <c r="G143" s="467">
        <v>9000</v>
      </c>
      <c r="H143" s="467">
        <v>7350</v>
      </c>
      <c r="I143" s="467">
        <v>8300</v>
      </c>
      <c r="J143" s="468">
        <f t="shared" si="21"/>
        <v>24650</v>
      </c>
      <c r="K143" s="484"/>
      <c r="L143" s="485">
        <f t="shared" si="12"/>
        <v>24650</v>
      </c>
      <c r="M143" s="484" t="s">
        <v>563</v>
      </c>
      <c r="N143" s="469">
        <v>3.6058989272000002</v>
      </c>
      <c r="O143" s="486">
        <f t="shared" si="13"/>
        <v>88885</v>
      </c>
      <c r="P143" s="461"/>
      <c r="Q143" s="37">
        <v>1088.5765526315788</v>
      </c>
      <c r="R143" s="469">
        <v>0.2036</v>
      </c>
      <c r="S143" s="486">
        <f t="shared" si="14"/>
        <v>8422.0990723999985</v>
      </c>
      <c r="T143" s="461"/>
      <c r="U143" s="37">
        <v>5.0613157894736842</v>
      </c>
      <c r="V143" s="469">
        <v>1.7611399999999999</v>
      </c>
      <c r="W143" s="487">
        <f t="shared" si="15"/>
        <v>338.72005619999999</v>
      </c>
      <c r="X143" s="457"/>
      <c r="Y143" s="488"/>
      <c r="Z143" s="463"/>
      <c r="AA143" s="488"/>
      <c r="AB143" s="463"/>
      <c r="AC143" s="488"/>
      <c r="AD143" s="457"/>
      <c r="AE143" s="489"/>
      <c r="AF143" s="490"/>
      <c r="AG143" s="476">
        <f t="shared" si="16"/>
        <v>0</v>
      </c>
      <c r="AH143" s="457"/>
      <c r="AI143" s="37">
        <v>285.68315789473684</v>
      </c>
      <c r="AJ143" s="469">
        <v>0.2036</v>
      </c>
      <c r="AK143" s="486">
        <f t="shared" si="17"/>
        <v>2210.2734559999999</v>
      </c>
      <c r="AL143" s="457"/>
      <c r="AM143" s="477">
        <f t="shared" si="18"/>
        <v>99856.092584600003</v>
      </c>
      <c r="AN143" s="464"/>
      <c r="AO143" s="402"/>
      <c r="AP143" s="402"/>
      <c r="AQ143" s="402">
        <f t="shared" si="22"/>
        <v>99856.092584600003</v>
      </c>
      <c r="AR143" s="478"/>
    </row>
    <row r="144" spans="1:44" customFormat="1" ht="15" x14ac:dyDescent="0.25">
      <c r="A144" s="498" t="s">
        <v>701</v>
      </c>
      <c r="B144" s="198"/>
      <c r="C144" s="256" t="s">
        <v>702</v>
      </c>
      <c r="D144" s="457"/>
      <c r="E144" s="482"/>
      <c r="F144" s="483"/>
      <c r="G144" s="467">
        <v>5600</v>
      </c>
      <c r="H144" s="467">
        <v>4200</v>
      </c>
      <c r="I144" s="467">
        <v>3600</v>
      </c>
      <c r="J144" s="468">
        <f t="shared" si="21"/>
        <v>13400</v>
      </c>
      <c r="K144" s="484"/>
      <c r="L144" s="485">
        <f t="shared" si="12"/>
        <v>13400</v>
      </c>
      <c r="M144" s="484" t="s">
        <v>563</v>
      </c>
      <c r="N144" s="469">
        <v>3.6058989272000002</v>
      </c>
      <c r="O144" s="486">
        <f t="shared" si="13"/>
        <v>48319</v>
      </c>
      <c r="P144" s="461"/>
      <c r="Q144" s="37">
        <v>733.89078947368421</v>
      </c>
      <c r="R144" s="469">
        <v>0.2036</v>
      </c>
      <c r="S144" s="486">
        <f t="shared" si="14"/>
        <v>5677.9662600000001</v>
      </c>
      <c r="T144" s="461"/>
      <c r="U144" s="37">
        <v>10.122631578947368</v>
      </c>
      <c r="V144" s="469">
        <v>1.7611399999999999</v>
      </c>
      <c r="W144" s="487">
        <f t="shared" si="15"/>
        <v>677.44011239999998</v>
      </c>
      <c r="X144" s="457"/>
      <c r="Y144" s="488"/>
      <c r="Z144" s="463"/>
      <c r="AA144" s="488"/>
      <c r="AB144" s="463"/>
      <c r="AC144" s="488"/>
      <c r="AD144" s="457"/>
      <c r="AE144" s="489"/>
      <c r="AF144" s="490"/>
      <c r="AG144" s="476">
        <f t="shared" si="16"/>
        <v>0</v>
      </c>
      <c r="AH144" s="457"/>
      <c r="AI144" s="37">
        <v>158.30671052631578</v>
      </c>
      <c r="AJ144" s="469">
        <v>0.2036</v>
      </c>
      <c r="AK144" s="486">
        <f t="shared" si="17"/>
        <v>1224.7873579999998</v>
      </c>
      <c r="AL144" s="457"/>
      <c r="AM144" s="477">
        <f t="shared" si="18"/>
        <v>55899.193730400002</v>
      </c>
      <c r="AN144" s="464"/>
      <c r="AO144" s="402"/>
      <c r="AP144" s="402"/>
      <c r="AQ144" s="402">
        <f t="shared" si="22"/>
        <v>55899.193730400002</v>
      </c>
      <c r="AR144" s="478"/>
    </row>
    <row r="145" spans="1:44" customFormat="1" ht="15" x14ac:dyDescent="0.25">
      <c r="A145" s="205" t="s">
        <v>703</v>
      </c>
      <c r="B145" s="196" t="s">
        <v>704</v>
      </c>
      <c r="C145" s="196" t="s">
        <v>705</v>
      </c>
      <c r="D145" s="457"/>
      <c r="E145" s="482"/>
      <c r="F145" s="483"/>
      <c r="G145" s="467">
        <v>0</v>
      </c>
      <c r="H145" s="467">
        <v>0</v>
      </c>
      <c r="I145" s="467">
        <v>0</v>
      </c>
      <c r="J145" s="468">
        <f t="shared" si="21"/>
        <v>0</v>
      </c>
      <c r="K145" s="484"/>
      <c r="L145" s="485">
        <f t="shared" si="12"/>
        <v>0</v>
      </c>
      <c r="M145" s="484" t="s">
        <v>563</v>
      </c>
      <c r="N145" s="469">
        <v>3.6058989272000002</v>
      </c>
      <c r="O145" s="486">
        <f t="shared" si="13"/>
        <v>0</v>
      </c>
      <c r="P145" s="461"/>
      <c r="Q145" s="37">
        <v>0</v>
      </c>
      <c r="R145" s="469">
        <v>0.2036</v>
      </c>
      <c r="S145" s="486">
        <f t="shared" si="14"/>
        <v>0</v>
      </c>
      <c r="T145" s="461"/>
      <c r="U145" s="37">
        <v>0</v>
      </c>
      <c r="V145" s="469">
        <v>1.7611399999999999</v>
      </c>
      <c r="W145" s="487">
        <f t="shared" si="15"/>
        <v>0</v>
      </c>
      <c r="X145" s="457"/>
      <c r="Y145" s="488"/>
      <c r="Z145" s="463"/>
      <c r="AA145" s="488"/>
      <c r="AB145" s="463"/>
      <c r="AC145" s="488"/>
      <c r="AD145" s="457"/>
      <c r="AE145" s="489"/>
      <c r="AF145" s="490"/>
      <c r="AG145" s="476">
        <f t="shared" si="16"/>
        <v>0</v>
      </c>
      <c r="AH145" s="457"/>
      <c r="AI145" s="37">
        <v>0</v>
      </c>
      <c r="AJ145" s="469">
        <v>0.2036</v>
      </c>
      <c r="AK145" s="486">
        <f t="shared" si="17"/>
        <v>0</v>
      </c>
      <c r="AL145" s="457"/>
      <c r="AM145" s="477">
        <f t="shared" si="18"/>
        <v>0</v>
      </c>
      <c r="AN145" s="464"/>
      <c r="AO145" s="402"/>
      <c r="AP145" s="402"/>
      <c r="AQ145" s="402">
        <f t="shared" si="22"/>
        <v>0</v>
      </c>
      <c r="AR145" s="478"/>
    </row>
    <row r="146" spans="1:44" customFormat="1" ht="15" x14ac:dyDescent="0.25">
      <c r="A146" s="205" t="s">
        <v>706</v>
      </c>
      <c r="B146" s="196" t="s">
        <v>707</v>
      </c>
      <c r="C146" s="196">
        <v>206146</v>
      </c>
      <c r="D146" s="457"/>
      <c r="E146" s="482"/>
      <c r="F146" s="483"/>
      <c r="G146" s="467">
        <v>8640</v>
      </c>
      <c r="H146" s="467">
        <v>10080</v>
      </c>
      <c r="I146" s="467">
        <v>8640</v>
      </c>
      <c r="J146" s="468">
        <f t="shared" si="21"/>
        <v>27360</v>
      </c>
      <c r="K146" s="484"/>
      <c r="L146" s="485">
        <f t="shared" si="12"/>
        <v>27360</v>
      </c>
      <c r="M146" s="484" t="s">
        <v>579</v>
      </c>
      <c r="N146" s="469">
        <v>3.6058989272000002</v>
      </c>
      <c r="O146" s="486">
        <f t="shared" si="13"/>
        <v>98657</v>
      </c>
      <c r="P146" s="461"/>
      <c r="Q146" s="37">
        <v>286.63918421052637</v>
      </c>
      <c r="R146" s="469">
        <v>0.2036</v>
      </c>
      <c r="S146" s="486">
        <f t="shared" si="14"/>
        <v>2217.6700404000003</v>
      </c>
      <c r="T146" s="461"/>
      <c r="U146" s="37">
        <v>0</v>
      </c>
      <c r="V146" s="469">
        <v>1.7611399999999999</v>
      </c>
      <c r="W146" s="487">
        <f t="shared" si="15"/>
        <v>0</v>
      </c>
      <c r="X146" s="457"/>
      <c r="Y146" s="488"/>
      <c r="Z146" s="463"/>
      <c r="AA146" s="488"/>
      <c r="AB146" s="463"/>
      <c r="AC146" s="488"/>
      <c r="AD146" s="457"/>
      <c r="AE146" s="489"/>
      <c r="AF146" s="490"/>
      <c r="AG146" s="476">
        <f t="shared" si="16"/>
        <v>0</v>
      </c>
      <c r="AH146" s="457"/>
      <c r="AI146" s="37">
        <v>37.116315789473681</v>
      </c>
      <c r="AJ146" s="469">
        <v>0.2036</v>
      </c>
      <c r="AK146" s="486">
        <f t="shared" si="17"/>
        <v>287.16151199999996</v>
      </c>
      <c r="AL146" s="457"/>
      <c r="AM146" s="477">
        <f t="shared" si="18"/>
        <v>101161.83155240001</v>
      </c>
      <c r="AN146" s="464"/>
      <c r="AO146" s="402"/>
      <c r="AP146" s="402"/>
      <c r="AQ146" s="402">
        <f t="shared" si="22"/>
        <v>101161.83155240001</v>
      </c>
      <c r="AR146" s="478"/>
    </row>
    <row r="147" spans="1:44" customFormat="1" ht="15" x14ac:dyDescent="0.25">
      <c r="A147" s="498" t="s">
        <v>708</v>
      </c>
      <c r="B147" s="198"/>
      <c r="C147" s="527" t="s">
        <v>709</v>
      </c>
      <c r="D147" s="457"/>
      <c r="E147" s="482"/>
      <c r="F147" s="483"/>
      <c r="G147" s="467">
        <v>1800</v>
      </c>
      <c r="H147" s="467">
        <v>3150</v>
      </c>
      <c r="I147" s="467">
        <v>2700</v>
      </c>
      <c r="J147" s="468">
        <f t="shared" si="21"/>
        <v>7650</v>
      </c>
      <c r="K147" s="484"/>
      <c r="L147" s="485">
        <f t="shared" si="12"/>
        <v>7650</v>
      </c>
      <c r="M147" s="484" t="s">
        <v>563</v>
      </c>
      <c r="N147" s="469">
        <v>3.6058989272000002</v>
      </c>
      <c r="O147" s="486">
        <f t="shared" si="13"/>
        <v>27585</v>
      </c>
      <c r="P147" s="461"/>
      <c r="Q147" s="37">
        <v>367.95765789473683</v>
      </c>
      <c r="R147" s="469">
        <v>0.2036</v>
      </c>
      <c r="S147" s="486">
        <f t="shared" si="14"/>
        <v>2846.8148076000002</v>
      </c>
      <c r="T147" s="461"/>
      <c r="U147" s="37">
        <v>0</v>
      </c>
      <c r="V147" s="469">
        <v>1.7611399999999999</v>
      </c>
      <c r="W147" s="487">
        <f t="shared" si="15"/>
        <v>0</v>
      </c>
      <c r="X147" s="457"/>
      <c r="Y147" s="488"/>
      <c r="Z147" s="463"/>
      <c r="AA147" s="488"/>
      <c r="AB147" s="463"/>
      <c r="AC147" s="488"/>
      <c r="AD147" s="457"/>
      <c r="AE147" s="489"/>
      <c r="AF147" s="490"/>
      <c r="AG147" s="476">
        <f t="shared" si="16"/>
        <v>0</v>
      </c>
      <c r="AH147" s="457"/>
      <c r="AI147" s="37">
        <v>66.640657894736847</v>
      </c>
      <c r="AJ147" s="469">
        <v>0.2036</v>
      </c>
      <c r="AK147" s="486">
        <f t="shared" si="17"/>
        <v>515.58544200000006</v>
      </c>
      <c r="AL147" s="457"/>
      <c r="AM147" s="477">
        <f t="shared" si="18"/>
        <v>30947.400249599999</v>
      </c>
      <c r="AN147" s="464"/>
      <c r="AO147" s="402"/>
      <c r="AP147" s="402"/>
      <c r="AQ147" s="402">
        <f t="shared" si="22"/>
        <v>30947.400249599999</v>
      </c>
      <c r="AR147" s="478"/>
    </row>
    <row r="148" spans="1:44" customFormat="1" ht="15" x14ac:dyDescent="0.25">
      <c r="A148" s="205" t="s">
        <v>710</v>
      </c>
      <c r="B148" s="196" t="s">
        <v>711</v>
      </c>
      <c r="C148" s="532" t="s">
        <v>712</v>
      </c>
      <c r="D148" s="457"/>
      <c r="E148" s="482"/>
      <c r="F148" s="483"/>
      <c r="G148" s="467">
        <v>0</v>
      </c>
      <c r="H148" s="467">
        <v>0</v>
      </c>
      <c r="I148" s="467">
        <v>0</v>
      </c>
      <c r="J148" s="468">
        <f t="shared" si="21"/>
        <v>0</v>
      </c>
      <c r="K148" s="484"/>
      <c r="L148" s="485">
        <f t="shared" si="12"/>
        <v>0</v>
      </c>
      <c r="M148" s="484" t="s">
        <v>563</v>
      </c>
      <c r="N148" s="469">
        <v>3.6058989272000002</v>
      </c>
      <c r="O148" s="486">
        <f t="shared" si="13"/>
        <v>0</v>
      </c>
      <c r="P148" s="461"/>
      <c r="Q148" s="37">
        <v>0</v>
      </c>
      <c r="R148" s="469">
        <v>0.2036</v>
      </c>
      <c r="S148" s="486">
        <f t="shared" si="14"/>
        <v>0</v>
      </c>
      <c r="T148" s="461"/>
      <c r="U148" s="37">
        <v>0</v>
      </c>
      <c r="V148" s="469">
        <v>1.7611399999999999</v>
      </c>
      <c r="W148" s="487">
        <f t="shared" si="15"/>
        <v>0</v>
      </c>
      <c r="X148" s="457"/>
      <c r="Y148" s="488"/>
      <c r="Z148" s="463"/>
      <c r="AA148" s="488"/>
      <c r="AB148" s="463"/>
      <c r="AC148" s="488"/>
      <c r="AD148" s="457"/>
      <c r="AE148" s="489"/>
      <c r="AF148" s="490"/>
      <c r="AG148" s="476">
        <f t="shared" si="16"/>
        <v>0</v>
      </c>
      <c r="AH148" s="457"/>
      <c r="AI148" s="37">
        <v>0</v>
      </c>
      <c r="AJ148" s="469">
        <v>0.2036</v>
      </c>
      <c r="AK148" s="486">
        <f t="shared" si="17"/>
        <v>0</v>
      </c>
      <c r="AL148" s="457"/>
      <c r="AM148" s="477">
        <f t="shared" si="18"/>
        <v>0</v>
      </c>
      <c r="AN148" s="464"/>
      <c r="AO148" s="402"/>
      <c r="AP148" s="402"/>
      <c r="AQ148" s="402">
        <f t="shared" si="22"/>
        <v>0</v>
      </c>
      <c r="AR148" s="478" t="s">
        <v>943</v>
      </c>
    </row>
    <row r="149" spans="1:44" customFormat="1" ht="15" x14ac:dyDescent="0.25">
      <c r="A149" s="205" t="s">
        <v>713</v>
      </c>
      <c r="B149" s="196" t="s">
        <v>711</v>
      </c>
      <c r="C149" s="532" t="s">
        <v>714</v>
      </c>
      <c r="D149" s="457"/>
      <c r="E149" s="482"/>
      <c r="F149" s="483"/>
      <c r="G149" s="467">
        <v>0</v>
      </c>
      <c r="H149" s="467">
        <v>0</v>
      </c>
      <c r="I149" s="467">
        <v>0</v>
      </c>
      <c r="J149" s="468">
        <f t="shared" si="21"/>
        <v>0</v>
      </c>
      <c r="K149" s="484"/>
      <c r="L149" s="485">
        <f t="shared" si="12"/>
        <v>0</v>
      </c>
      <c r="M149" s="484" t="s">
        <v>563</v>
      </c>
      <c r="N149" s="469">
        <v>3.6058989272000002</v>
      </c>
      <c r="O149" s="486">
        <f t="shared" si="13"/>
        <v>0</v>
      </c>
      <c r="P149" s="461"/>
      <c r="Q149" s="37">
        <v>0</v>
      </c>
      <c r="R149" s="469">
        <v>0.2036</v>
      </c>
      <c r="S149" s="486">
        <f t="shared" si="14"/>
        <v>0</v>
      </c>
      <c r="T149" s="461"/>
      <c r="U149" s="37">
        <v>0</v>
      </c>
      <c r="V149" s="469">
        <v>1.7611399999999999</v>
      </c>
      <c r="W149" s="487">
        <f t="shared" si="15"/>
        <v>0</v>
      </c>
      <c r="X149" s="457"/>
      <c r="Y149" s="488"/>
      <c r="Z149" s="463"/>
      <c r="AA149" s="488"/>
      <c r="AB149" s="463"/>
      <c r="AC149" s="488"/>
      <c r="AD149" s="457"/>
      <c r="AE149" s="489"/>
      <c r="AF149" s="490"/>
      <c r="AG149" s="476">
        <f t="shared" si="16"/>
        <v>0</v>
      </c>
      <c r="AH149" s="457"/>
      <c r="AI149" s="37">
        <v>0</v>
      </c>
      <c r="AJ149" s="469">
        <v>0.2036</v>
      </c>
      <c r="AK149" s="486">
        <f t="shared" si="17"/>
        <v>0</v>
      </c>
      <c r="AL149" s="457"/>
      <c r="AM149" s="477">
        <f t="shared" si="18"/>
        <v>0</v>
      </c>
      <c r="AN149" s="464"/>
      <c r="AO149" s="402"/>
      <c r="AP149" s="402"/>
      <c r="AQ149" s="402">
        <f t="shared" si="22"/>
        <v>0</v>
      </c>
      <c r="AR149" s="478" t="s">
        <v>943</v>
      </c>
    </row>
    <row r="150" spans="1:44" customFormat="1" ht="15" x14ac:dyDescent="0.25">
      <c r="A150" s="205" t="s">
        <v>715</v>
      </c>
      <c r="B150" s="196" t="s">
        <v>711</v>
      </c>
      <c r="C150" s="196" t="s">
        <v>716</v>
      </c>
      <c r="D150" s="457"/>
      <c r="E150" s="482"/>
      <c r="F150" s="483"/>
      <c r="G150" s="467">
        <v>6264</v>
      </c>
      <c r="H150" s="467">
        <v>7560</v>
      </c>
      <c r="I150" s="467">
        <v>7380</v>
      </c>
      <c r="J150" s="468">
        <f t="shared" si="21"/>
        <v>21204</v>
      </c>
      <c r="K150" s="484"/>
      <c r="L150" s="485">
        <f t="shared" si="12"/>
        <v>21204</v>
      </c>
      <c r="M150" s="484" t="s">
        <v>563</v>
      </c>
      <c r="N150" s="469">
        <v>3.6058989272000002</v>
      </c>
      <c r="O150" s="486">
        <f t="shared" si="13"/>
        <v>76459</v>
      </c>
      <c r="P150" s="461"/>
      <c r="Q150" s="37">
        <v>746.71278947368421</v>
      </c>
      <c r="R150" s="469">
        <v>0.2036</v>
      </c>
      <c r="S150" s="486">
        <f t="shared" si="14"/>
        <v>5777.1675095999999</v>
      </c>
      <c r="T150" s="461"/>
      <c r="U150" s="37">
        <v>5.0613157894736842</v>
      </c>
      <c r="V150" s="469">
        <v>1.7611399999999999</v>
      </c>
      <c r="W150" s="487">
        <f t="shared" si="15"/>
        <v>338.72005619999999</v>
      </c>
      <c r="X150" s="457"/>
      <c r="Y150" s="488"/>
      <c r="Z150" s="463"/>
      <c r="AA150" s="488"/>
      <c r="AB150" s="463"/>
      <c r="AC150" s="488"/>
      <c r="AD150" s="457"/>
      <c r="AE150" s="489"/>
      <c r="AF150" s="490"/>
      <c r="AG150" s="476">
        <f t="shared" si="16"/>
        <v>0</v>
      </c>
      <c r="AH150" s="457"/>
      <c r="AI150" s="37">
        <v>30.367894736842107</v>
      </c>
      <c r="AJ150" s="469">
        <v>0.2036</v>
      </c>
      <c r="AK150" s="486">
        <f t="shared" si="17"/>
        <v>234.95032800000001</v>
      </c>
      <c r="AL150" s="457"/>
      <c r="AM150" s="477">
        <f t="shared" si="18"/>
        <v>82809.837893799995</v>
      </c>
      <c r="AN150" s="464"/>
      <c r="AO150" s="402"/>
      <c r="AP150" s="402"/>
      <c r="AQ150" s="402">
        <f t="shared" si="22"/>
        <v>82809.837893799995</v>
      </c>
      <c r="AR150" s="478"/>
    </row>
    <row r="151" spans="1:44" customFormat="1" ht="15" x14ac:dyDescent="0.25">
      <c r="A151" s="205" t="s">
        <v>717</v>
      </c>
      <c r="B151" s="196" t="s">
        <v>718</v>
      </c>
      <c r="C151" s="196" t="s">
        <v>719</v>
      </c>
      <c r="D151" s="457"/>
      <c r="E151" s="482"/>
      <c r="F151" s="483"/>
      <c r="G151" s="467">
        <v>4860</v>
      </c>
      <c r="H151" s="467">
        <v>5628</v>
      </c>
      <c r="I151" s="467">
        <v>6192</v>
      </c>
      <c r="J151" s="468">
        <f t="shared" si="21"/>
        <v>16680</v>
      </c>
      <c r="K151" s="484"/>
      <c r="L151" s="485">
        <f t="shared" si="12"/>
        <v>16680</v>
      </c>
      <c r="M151" s="484" t="s">
        <v>563</v>
      </c>
      <c r="N151" s="469">
        <v>3.6058989272000002</v>
      </c>
      <c r="O151" s="486">
        <f t="shared" si="13"/>
        <v>60146</v>
      </c>
      <c r="P151" s="461"/>
      <c r="Q151" s="37">
        <v>274.99815789473689</v>
      </c>
      <c r="R151" s="469">
        <v>0.2036</v>
      </c>
      <c r="S151" s="486">
        <f t="shared" si="14"/>
        <v>2127.6057480000004</v>
      </c>
      <c r="T151" s="461"/>
      <c r="U151" s="37">
        <v>10.122631578947368</v>
      </c>
      <c r="V151" s="469">
        <v>1.7611399999999999</v>
      </c>
      <c r="W151" s="487">
        <f t="shared" si="15"/>
        <v>677.44011239999998</v>
      </c>
      <c r="X151" s="457"/>
      <c r="Y151" s="488"/>
      <c r="Z151" s="463"/>
      <c r="AA151" s="488"/>
      <c r="AB151" s="463"/>
      <c r="AC151" s="488"/>
      <c r="AD151" s="457"/>
      <c r="AE151" s="489"/>
      <c r="AF151" s="490"/>
      <c r="AG151" s="476">
        <f t="shared" si="16"/>
        <v>0</v>
      </c>
      <c r="AH151" s="457"/>
      <c r="AI151" s="37">
        <v>0</v>
      </c>
      <c r="AJ151" s="469">
        <v>0.2036</v>
      </c>
      <c r="AK151" s="486">
        <f t="shared" si="17"/>
        <v>0</v>
      </c>
      <c r="AL151" s="457"/>
      <c r="AM151" s="477">
        <f t="shared" si="18"/>
        <v>62951.045860400001</v>
      </c>
      <c r="AN151" s="464"/>
      <c r="AO151" s="402"/>
      <c r="AP151" s="402"/>
      <c r="AQ151" s="402">
        <f t="shared" si="22"/>
        <v>62951.045860400001</v>
      </c>
      <c r="AR151" s="478"/>
    </row>
    <row r="152" spans="1:44" customFormat="1" ht="15" x14ac:dyDescent="0.25">
      <c r="A152" s="498" t="s">
        <v>720</v>
      </c>
      <c r="B152" s="198"/>
      <c r="C152" s="527" t="s">
        <v>721</v>
      </c>
      <c r="D152" s="457"/>
      <c r="E152" s="482"/>
      <c r="F152" s="483"/>
      <c r="G152" s="467">
        <v>7500</v>
      </c>
      <c r="H152" s="467">
        <v>6720</v>
      </c>
      <c r="I152" s="467">
        <v>7500</v>
      </c>
      <c r="J152" s="468">
        <f t="shared" si="21"/>
        <v>21720</v>
      </c>
      <c r="K152" s="484"/>
      <c r="L152" s="485">
        <f t="shared" si="12"/>
        <v>21720</v>
      </c>
      <c r="M152" s="484" t="s">
        <v>563</v>
      </c>
      <c r="N152" s="469">
        <v>3.6058989272000002</v>
      </c>
      <c r="O152" s="486">
        <f t="shared" si="13"/>
        <v>78320</v>
      </c>
      <c r="P152" s="461"/>
      <c r="Q152" s="37">
        <v>1464.4073684210525</v>
      </c>
      <c r="R152" s="469">
        <v>0.2036</v>
      </c>
      <c r="S152" s="486">
        <f t="shared" si="14"/>
        <v>11329.826928</v>
      </c>
      <c r="T152" s="461"/>
      <c r="U152" s="37">
        <v>53.143815789473685</v>
      </c>
      <c r="V152" s="469">
        <v>1.7611399999999999</v>
      </c>
      <c r="W152" s="487">
        <f t="shared" si="15"/>
        <v>3556.5605900999999</v>
      </c>
      <c r="X152" s="457"/>
      <c r="Y152" s="488"/>
      <c r="Z152" s="463"/>
      <c r="AA152" s="488"/>
      <c r="AB152" s="463"/>
      <c r="AC152" s="488"/>
      <c r="AD152" s="457"/>
      <c r="AE152" s="489"/>
      <c r="AF152" s="490"/>
      <c r="AG152" s="476">
        <f t="shared" si="16"/>
        <v>0</v>
      </c>
      <c r="AH152" s="457"/>
      <c r="AI152" s="37">
        <v>171.24118421052631</v>
      </c>
      <c r="AJ152" s="469">
        <v>0.2036</v>
      </c>
      <c r="AK152" s="486">
        <f t="shared" si="17"/>
        <v>1324.858794</v>
      </c>
      <c r="AL152" s="457"/>
      <c r="AM152" s="477">
        <f t="shared" si="18"/>
        <v>94531.246312100004</v>
      </c>
      <c r="AN152" s="464"/>
      <c r="AO152" s="402"/>
      <c r="AP152" s="402"/>
      <c r="AQ152" s="402">
        <f t="shared" si="22"/>
        <v>94531.246312100004</v>
      </c>
      <c r="AR152" s="478"/>
    </row>
    <row r="153" spans="1:44" customFormat="1" ht="15" x14ac:dyDescent="0.25">
      <c r="A153" s="205" t="s">
        <v>722</v>
      </c>
      <c r="B153" s="196" t="s">
        <v>723</v>
      </c>
      <c r="C153" s="196">
        <v>113044</v>
      </c>
      <c r="D153" s="457"/>
      <c r="E153" s="482"/>
      <c r="F153" s="483"/>
      <c r="G153" s="467">
        <v>2232</v>
      </c>
      <c r="H153" s="467">
        <v>2310</v>
      </c>
      <c r="I153" s="467">
        <v>2160</v>
      </c>
      <c r="J153" s="468">
        <f t="shared" si="21"/>
        <v>6702</v>
      </c>
      <c r="K153" s="484"/>
      <c r="L153" s="485">
        <f t="shared" si="12"/>
        <v>6702</v>
      </c>
      <c r="M153" s="484" t="s">
        <v>579</v>
      </c>
      <c r="N153" s="469">
        <v>3.6058989272000002</v>
      </c>
      <c r="O153" s="486">
        <f t="shared" si="13"/>
        <v>24167</v>
      </c>
      <c r="P153" s="461"/>
      <c r="Q153" s="37">
        <v>129.90710526315789</v>
      </c>
      <c r="R153" s="469">
        <v>0.2036</v>
      </c>
      <c r="S153" s="486">
        <f t="shared" si="14"/>
        <v>1005.065292</v>
      </c>
      <c r="T153" s="461"/>
      <c r="U153" s="37">
        <v>5.0613157894736842</v>
      </c>
      <c r="V153" s="469">
        <v>1.7611399999999999</v>
      </c>
      <c r="W153" s="487">
        <f t="shared" si="15"/>
        <v>338.72005619999999</v>
      </c>
      <c r="X153" s="457"/>
      <c r="Y153" s="488"/>
      <c r="Z153" s="463"/>
      <c r="AA153" s="488"/>
      <c r="AB153" s="463"/>
      <c r="AC153" s="488"/>
      <c r="AD153" s="457"/>
      <c r="AE153" s="489"/>
      <c r="AF153" s="490"/>
      <c r="AG153" s="476">
        <f t="shared" si="16"/>
        <v>0</v>
      </c>
      <c r="AH153" s="457"/>
      <c r="AI153" s="37">
        <v>121.809</v>
      </c>
      <c r="AJ153" s="469">
        <v>0.2036</v>
      </c>
      <c r="AK153" s="486">
        <f t="shared" si="17"/>
        <v>942.41187119999995</v>
      </c>
      <c r="AL153" s="457"/>
      <c r="AM153" s="477">
        <f t="shared" si="18"/>
        <v>26453.197219400001</v>
      </c>
      <c r="AN153" s="464"/>
      <c r="AO153" s="402"/>
      <c r="AP153" s="402"/>
      <c r="AQ153" s="402">
        <f t="shared" si="22"/>
        <v>26453.197219400001</v>
      </c>
      <c r="AR153" s="478"/>
    </row>
    <row r="154" spans="1:44" customFormat="1" ht="15" x14ac:dyDescent="0.25">
      <c r="A154" s="205" t="s">
        <v>724</v>
      </c>
      <c r="B154" s="196" t="s">
        <v>725</v>
      </c>
      <c r="C154" s="196" t="s">
        <v>726</v>
      </c>
      <c r="D154" s="457"/>
      <c r="E154" s="482"/>
      <c r="F154" s="483"/>
      <c r="G154" s="467">
        <v>9600</v>
      </c>
      <c r="H154" s="467">
        <v>16800</v>
      </c>
      <c r="I154" s="467">
        <v>14400</v>
      </c>
      <c r="J154" s="468">
        <f t="shared" si="21"/>
        <v>40800</v>
      </c>
      <c r="K154" s="484"/>
      <c r="L154" s="485">
        <f t="shared" si="12"/>
        <v>40800</v>
      </c>
      <c r="M154" s="484" t="s">
        <v>563</v>
      </c>
      <c r="N154" s="469">
        <v>3.6058989272000002</v>
      </c>
      <c r="O154" s="486">
        <f t="shared" si="13"/>
        <v>147121</v>
      </c>
      <c r="P154" s="461"/>
      <c r="Q154" s="37">
        <v>435.04821052631581</v>
      </c>
      <c r="R154" s="469">
        <v>0.2036</v>
      </c>
      <c r="S154" s="486">
        <f t="shared" si="14"/>
        <v>3365.8809952000001</v>
      </c>
      <c r="T154" s="461"/>
      <c r="U154" s="37">
        <v>26.993684210526315</v>
      </c>
      <c r="V154" s="469">
        <v>1.7611399999999999</v>
      </c>
      <c r="W154" s="487">
        <f t="shared" si="15"/>
        <v>1806.5069663999998</v>
      </c>
      <c r="X154" s="457"/>
      <c r="Y154" s="488"/>
      <c r="Z154" s="463"/>
      <c r="AA154" s="488"/>
      <c r="AB154" s="463"/>
      <c r="AC154" s="488"/>
      <c r="AD154" s="457"/>
      <c r="AE154" s="489"/>
      <c r="AF154" s="490"/>
      <c r="AG154" s="476">
        <f t="shared" si="16"/>
        <v>0</v>
      </c>
      <c r="AH154" s="457"/>
      <c r="AI154" s="37">
        <v>5.0613157894736842</v>
      </c>
      <c r="AJ154" s="469">
        <v>0.2036</v>
      </c>
      <c r="AK154" s="486">
        <f t="shared" si="17"/>
        <v>39.158388000000002</v>
      </c>
      <c r="AL154" s="457"/>
      <c r="AM154" s="477">
        <f t="shared" si="18"/>
        <v>152332.54634959999</v>
      </c>
      <c r="AN154" s="464"/>
      <c r="AO154" s="402"/>
      <c r="AP154" s="402"/>
      <c r="AQ154" s="402">
        <f t="shared" si="22"/>
        <v>152332.54634959999</v>
      </c>
      <c r="AR154" s="478"/>
    </row>
    <row r="155" spans="1:44" customFormat="1" ht="15" x14ac:dyDescent="0.25">
      <c r="A155" s="205" t="s">
        <v>727</v>
      </c>
      <c r="B155" s="196" t="s">
        <v>728</v>
      </c>
      <c r="C155" s="196" t="s">
        <v>729</v>
      </c>
      <c r="D155" s="457"/>
      <c r="E155" s="482"/>
      <c r="F155" s="483"/>
      <c r="G155" s="467">
        <v>3036</v>
      </c>
      <c r="H155" s="467">
        <v>210</v>
      </c>
      <c r="I155" s="467">
        <v>2628</v>
      </c>
      <c r="J155" s="468">
        <f t="shared" si="21"/>
        <v>5874</v>
      </c>
      <c r="K155" s="484"/>
      <c r="L155" s="485">
        <f t="shared" si="12"/>
        <v>5874</v>
      </c>
      <c r="M155" s="484" t="s">
        <v>579</v>
      </c>
      <c r="N155" s="469">
        <v>3.6058989272000002</v>
      </c>
      <c r="O155" s="486">
        <f t="shared" si="13"/>
        <v>21181</v>
      </c>
      <c r="P155" s="461"/>
      <c r="Q155" s="37">
        <v>208.86363157894741</v>
      </c>
      <c r="R155" s="469">
        <v>0.2036</v>
      </c>
      <c r="S155" s="486">
        <f t="shared" si="14"/>
        <v>1615.9361448000004</v>
      </c>
      <c r="T155" s="461"/>
      <c r="U155" s="37">
        <v>5.0613157894736842</v>
      </c>
      <c r="V155" s="469">
        <v>1.7611399999999999</v>
      </c>
      <c r="W155" s="487">
        <f t="shared" si="15"/>
        <v>338.72005619999999</v>
      </c>
      <c r="X155" s="457"/>
      <c r="Y155" s="488"/>
      <c r="Z155" s="463"/>
      <c r="AA155" s="488"/>
      <c r="AB155" s="463"/>
      <c r="AC155" s="488"/>
      <c r="AD155" s="457"/>
      <c r="AE155" s="489"/>
      <c r="AF155" s="490"/>
      <c r="AG155" s="476">
        <f t="shared" si="16"/>
        <v>0</v>
      </c>
      <c r="AH155" s="457"/>
      <c r="AI155" s="37">
        <v>0</v>
      </c>
      <c r="AJ155" s="469">
        <v>0.2036</v>
      </c>
      <c r="AK155" s="486">
        <f t="shared" si="17"/>
        <v>0</v>
      </c>
      <c r="AL155" s="457"/>
      <c r="AM155" s="477">
        <f t="shared" si="18"/>
        <v>23135.656201000002</v>
      </c>
      <c r="AN155" s="464"/>
      <c r="AO155" s="402"/>
      <c r="AP155" s="402"/>
      <c r="AQ155" s="402">
        <f t="shared" si="22"/>
        <v>23135.656201000002</v>
      </c>
      <c r="AR155" s="478"/>
    </row>
    <row r="156" spans="1:44" customFormat="1" ht="15" x14ac:dyDescent="0.25">
      <c r="A156" s="205" t="s">
        <v>730</v>
      </c>
      <c r="B156" s="196" t="s">
        <v>731</v>
      </c>
      <c r="C156" s="196" t="s">
        <v>732</v>
      </c>
      <c r="D156" s="457"/>
      <c r="E156" s="482"/>
      <c r="F156" s="483"/>
      <c r="G156" s="467">
        <v>6800</v>
      </c>
      <c r="H156" s="467">
        <v>5550</v>
      </c>
      <c r="I156" s="467">
        <v>4600</v>
      </c>
      <c r="J156" s="468">
        <f t="shared" si="21"/>
        <v>16950</v>
      </c>
      <c r="K156" s="484"/>
      <c r="L156" s="485">
        <f t="shared" si="12"/>
        <v>16950</v>
      </c>
      <c r="M156" s="484" t="s">
        <v>563</v>
      </c>
      <c r="N156" s="469">
        <v>3.6058989272000002</v>
      </c>
      <c r="O156" s="486">
        <f t="shared" si="13"/>
        <v>61120</v>
      </c>
      <c r="P156" s="461"/>
      <c r="Q156" s="37">
        <v>466.4846052631579</v>
      </c>
      <c r="R156" s="469">
        <v>0.2036</v>
      </c>
      <c r="S156" s="486">
        <f t="shared" si="14"/>
        <v>3609.0980940000004</v>
      </c>
      <c r="T156" s="461"/>
      <c r="U156" s="37">
        <v>31.211447368421052</v>
      </c>
      <c r="V156" s="469">
        <v>1.7611399999999999</v>
      </c>
      <c r="W156" s="487">
        <f t="shared" si="15"/>
        <v>2088.7736798999999</v>
      </c>
      <c r="X156" s="457"/>
      <c r="Y156" s="488"/>
      <c r="Z156" s="463"/>
      <c r="AA156" s="488"/>
      <c r="AB156" s="463"/>
      <c r="AC156" s="488"/>
      <c r="AD156" s="457"/>
      <c r="AE156" s="489"/>
      <c r="AF156" s="490"/>
      <c r="AG156" s="476">
        <f t="shared" si="16"/>
        <v>0</v>
      </c>
      <c r="AH156" s="457"/>
      <c r="AI156" s="37">
        <v>5.0613157894736842</v>
      </c>
      <c r="AJ156" s="469">
        <v>0.2036</v>
      </c>
      <c r="AK156" s="486">
        <f t="shared" si="17"/>
        <v>39.158388000000002</v>
      </c>
      <c r="AL156" s="457"/>
      <c r="AM156" s="477">
        <f t="shared" si="18"/>
        <v>66857.030161899995</v>
      </c>
      <c r="AN156" s="464"/>
      <c r="AO156" s="402"/>
      <c r="AP156" s="402"/>
      <c r="AQ156" s="402">
        <f t="shared" si="22"/>
        <v>66857.030161899995</v>
      </c>
      <c r="AR156" s="478"/>
    </row>
    <row r="157" spans="1:44" customFormat="1" ht="15" x14ac:dyDescent="0.25">
      <c r="A157" s="205" t="s">
        <v>733</v>
      </c>
      <c r="B157" s="196" t="s">
        <v>734</v>
      </c>
      <c r="C157" s="196" t="s">
        <v>735</v>
      </c>
      <c r="D157" s="457"/>
      <c r="E157" s="482"/>
      <c r="F157" s="483"/>
      <c r="G157" s="467">
        <v>6660</v>
      </c>
      <c r="H157" s="467">
        <v>3360</v>
      </c>
      <c r="I157" s="467">
        <v>3600</v>
      </c>
      <c r="J157" s="468">
        <f t="shared" si="21"/>
        <v>13620</v>
      </c>
      <c r="K157" s="484"/>
      <c r="L157" s="485">
        <f t="shared" si="12"/>
        <v>13620</v>
      </c>
      <c r="M157" s="484" t="s">
        <v>563</v>
      </c>
      <c r="N157" s="469">
        <v>3.6058989272000002</v>
      </c>
      <c r="O157" s="486">
        <f t="shared" si="13"/>
        <v>49112</v>
      </c>
      <c r="P157" s="461"/>
      <c r="Q157" s="37">
        <v>1406.0335263157895</v>
      </c>
      <c r="R157" s="469">
        <v>0.2036</v>
      </c>
      <c r="S157" s="486">
        <f t="shared" si="14"/>
        <v>10878.200186400001</v>
      </c>
      <c r="T157" s="461"/>
      <c r="U157" s="37">
        <v>20.245263157894737</v>
      </c>
      <c r="V157" s="469">
        <v>1.7611399999999999</v>
      </c>
      <c r="W157" s="487">
        <f t="shared" si="15"/>
        <v>1354.8802248</v>
      </c>
      <c r="X157" s="457"/>
      <c r="Y157" s="488"/>
      <c r="Z157" s="463"/>
      <c r="AA157" s="488"/>
      <c r="AB157" s="463"/>
      <c r="AC157" s="488"/>
      <c r="AD157" s="457"/>
      <c r="AE157" s="489"/>
      <c r="AF157" s="490"/>
      <c r="AG157" s="476">
        <f t="shared" si="16"/>
        <v>0</v>
      </c>
      <c r="AH157" s="457"/>
      <c r="AI157" s="37">
        <v>101.22631578947369</v>
      </c>
      <c r="AJ157" s="469">
        <v>0.2036</v>
      </c>
      <c r="AK157" s="486">
        <f t="shared" si="17"/>
        <v>783.16776000000004</v>
      </c>
      <c r="AL157" s="457"/>
      <c r="AM157" s="477">
        <f t="shared" si="18"/>
        <v>62128.248171200001</v>
      </c>
      <c r="AN157" s="464"/>
      <c r="AO157" s="402"/>
      <c r="AP157" s="402"/>
      <c r="AQ157" s="402">
        <f t="shared" si="22"/>
        <v>62128.248171200001</v>
      </c>
      <c r="AR157" s="478"/>
    </row>
    <row r="158" spans="1:44" customFormat="1" ht="15" x14ac:dyDescent="0.25">
      <c r="A158" s="533" t="s">
        <v>736</v>
      </c>
      <c r="B158" s="534"/>
      <c r="C158" s="534" t="s">
        <v>737</v>
      </c>
      <c r="D158" s="457"/>
      <c r="E158" s="482"/>
      <c r="F158" s="483"/>
      <c r="G158" s="467">
        <v>4680</v>
      </c>
      <c r="H158" s="467">
        <v>3570</v>
      </c>
      <c r="I158" s="467">
        <v>3600</v>
      </c>
      <c r="J158" s="468">
        <f t="shared" si="21"/>
        <v>11850</v>
      </c>
      <c r="K158" s="484"/>
      <c r="L158" s="485">
        <f t="shared" si="12"/>
        <v>11850</v>
      </c>
      <c r="M158" s="484" t="s">
        <v>563</v>
      </c>
      <c r="N158" s="469">
        <v>3.6058989272000002</v>
      </c>
      <c r="O158" s="486">
        <f t="shared" si="13"/>
        <v>42730</v>
      </c>
      <c r="P158" s="461"/>
      <c r="Q158" s="37">
        <v>501.23897368421052</v>
      </c>
      <c r="R158" s="469">
        <v>0.2036</v>
      </c>
      <c r="S158" s="486">
        <f t="shared" si="14"/>
        <v>3877.9856915999999</v>
      </c>
      <c r="T158" s="461"/>
      <c r="U158" s="37">
        <v>10.966184210526317</v>
      </c>
      <c r="V158" s="469">
        <v>1.7611399999999999</v>
      </c>
      <c r="W158" s="487">
        <f t="shared" si="15"/>
        <v>733.89345509999998</v>
      </c>
      <c r="X158" s="457"/>
      <c r="Y158" s="488"/>
      <c r="Z158" s="463"/>
      <c r="AA158" s="488"/>
      <c r="AB158" s="463"/>
      <c r="AC158" s="488"/>
      <c r="AD158" s="457"/>
      <c r="AE158" s="489"/>
      <c r="AF158" s="490"/>
      <c r="AG158" s="476">
        <f t="shared" si="16"/>
        <v>0</v>
      </c>
      <c r="AH158" s="457"/>
      <c r="AI158" s="37">
        <v>10.966184210526317</v>
      </c>
      <c r="AJ158" s="469">
        <v>0.2036</v>
      </c>
      <c r="AK158" s="486">
        <f t="shared" si="17"/>
        <v>84.843174000000005</v>
      </c>
      <c r="AL158" s="457"/>
      <c r="AM158" s="477">
        <f t="shared" si="18"/>
        <v>47426.722320699999</v>
      </c>
      <c r="AN158" s="464"/>
      <c r="AO158" s="402"/>
      <c r="AP158" s="402"/>
      <c r="AQ158" s="402">
        <f t="shared" si="22"/>
        <v>47426.722320699999</v>
      </c>
      <c r="AR158" s="478"/>
    </row>
    <row r="159" spans="1:44" customFormat="1" ht="15" x14ac:dyDescent="0.25">
      <c r="A159" s="205" t="s">
        <v>738</v>
      </c>
      <c r="B159" s="196" t="s">
        <v>739</v>
      </c>
      <c r="C159" s="196">
        <v>206152</v>
      </c>
      <c r="D159" s="457"/>
      <c r="E159" s="482"/>
      <c r="F159" s="483"/>
      <c r="G159" s="467">
        <v>7476</v>
      </c>
      <c r="H159" s="467">
        <v>7500</v>
      </c>
      <c r="I159" s="467">
        <v>7000</v>
      </c>
      <c r="J159" s="468">
        <f t="shared" si="21"/>
        <v>21976</v>
      </c>
      <c r="K159" s="484"/>
      <c r="L159" s="485">
        <f t="shared" si="12"/>
        <v>21976</v>
      </c>
      <c r="M159" s="484" t="s">
        <v>579</v>
      </c>
      <c r="N159" s="469">
        <v>3.6058989272000002</v>
      </c>
      <c r="O159" s="486">
        <f t="shared" si="13"/>
        <v>79243</v>
      </c>
      <c r="P159" s="461"/>
      <c r="Q159" s="37">
        <v>552.18955263157909</v>
      </c>
      <c r="R159" s="469">
        <v>0.2036</v>
      </c>
      <c r="S159" s="486">
        <f t="shared" si="14"/>
        <v>4272.1801308000013</v>
      </c>
      <c r="T159" s="461"/>
      <c r="U159" s="37">
        <v>0</v>
      </c>
      <c r="V159" s="469">
        <v>1.7611399999999999</v>
      </c>
      <c r="W159" s="487">
        <f t="shared" si="15"/>
        <v>0</v>
      </c>
      <c r="X159" s="457"/>
      <c r="Y159" s="488"/>
      <c r="Z159" s="463"/>
      <c r="AA159" s="488"/>
      <c r="AB159" s="463"/>
      <c r="AC159" s="488"/>
      <c r="AD159" s="457"/>
      <c r="AE159" s="489"/>
      <c r="AF159" s="490"/>
      <c r="AG159" s="476">
        <f t="shared" si="16"/>
        <v>0</v>
      </c>
      <c r="AH159" s="457"/>
      <c r="AI159" s="37">
        <v>165.67373684210526</v>
      </c>
      <c r="AJ159" s="469">
        <v>0.2036</v>
      </c>
      <c r="AK159" s="486">
        <f t="shared" si="17"/>
        <v>1281.7845672000001</v>
      </c>
      <c r="AL159" s="457"/>
      <c r="AM159" s="477">
        <f t="shared" si="18"/>
        <v>84796.964697999996</v>
      </c>
      <c r="AN159" s="464"/>
      <c r="AO159" s="402"/>
      <c r="AP159" s="402"/>
      <c r="AQ159" s="402">
        <f t="shared" si="22"/>
        <v>84796.964697999996</v>
      </c>
      <c r="AR159" s="478"/>
    </row>
    <row r="160" spans="1:44" customFormat="1" ht="15" x14ac:dyDescent="0.25">
      <c r="A160" s="205" t="s">
        <v>740</v>
      </c>
      <c r="B160" s="196" t="s">
        <v>741</v>
      </c>
      <c r="C160" s="196">
        <v>206153</v>
      </c>
      <c r="D160" s="457"/>
      <c r="E160" s="482"/>
      <c r="F160" s="483"/>
      <c r="G160" s="467">
        <v>3600</v>
      </c>
      <c r="H160" s="467">
        <v>4830</v>
      </c>
      <c r="I160" s="467">
        <v>4500</v>
      </c>
      <c r="J160" s="468">
        <f t="shared" si="21"/>
        <v>12930</v>
      </c>
      <c r="K160" s="484"/>
      <c r="L160" s="485">
        <f t="shared" si="12"/>
        <v>12930</v>
      </c>
      <c r="M160" s="484" t="s">
        <v>579</v>
      </c>
      <c r="N160" s="469">
        <v>3.6058989272000002</v>
      </c>
      <c r="O160" s="486">
        <f t="shared" si="13"/>
        <v>46624</v>
      </c>
      <c r="P160" s="461"/>
      <c r="Q160" s="37">
        <v>22.101078947368418</v>
      </c>
      <c r="R160" s="469">
        <v>0.2036</v>
      </c>
      <c r="S160" s="486">
        <f t="shared" si="14"/>
        <v>170.99162759999999</v>
      </c>
      <c r="T160" s="461"/>
      <c r="U160" s="37">
        <v>0</v>
      </c>
      <c r="V160" s="469">
        <v>1.7611399999999999</v>
      </c>
      <c r="W160" s="487">
        <f t="shared" si="15"/>
        <v>0</v>
      </c>
      <c r="X160" s="457"/>
      <c r="Y160" s="488"/>
      <c r="Z160" s="463"/>
      <c r="AA160" s="488"/>
      <c r="AB160" s="463"/>
      <c r="AC160" s="488"/>
      <c r="AD160" s="457"/>
      <c r="AE160" s="489"/>
      <c r="AF160" s="490"/>
      <c r="AG160" s="476">
        <f t="shared" si="16"/>
        <v>0</v>
      </c>
      <c r="AH160" s="457"/>
      <c r="AI160" s="37">
        <v>0</v>
      </c>
      <c r="AJ160" s="469">
        <v>0.2036</v>
      </c>
      <c r="AK160" s="486">
        <f t="shared" si="17"/>
        <v>0</v>
      </c>
      <c r="AL160" s="457"/>
      <c r="AM160" s="477">
        <f t="shared" si="18"/>
        <v>46794.9916276</v>
      </c>
      <c r="AN160" s="464"/>
      <c r="AO160" s="402"/>
      <c r="AP160" s="402"/>
      <c r="AQ160" s="402">
        <f t="shared" si="22"/>
        <v>46794.9916276</v>
      </c>
      <c r="AR160" s="478"/>
    </row>
    <row r="161" spans="1:44" customFormat="1" ht="15" x14ac:dyDescent="0.25">
      <c r="A161" s="535" t="s">
        <v>742</v>
      </c>
      <c r="B161" s="196" t="s">
        <v>743</v>
      </c>
      <c r="C161" s="196">
        <v>206154</v>
      </c>
      <c r="D161" s="457"/>
      <c r="E161" s="482"/>
      <c r="F161" s="483"/>
      <c r="G161" s="467">
        <v>7416</v>
      </c>
      <c r="H161" s="467">
        <v>7350</v>
      </c>
      <c r="I161" s="467">
        <v>7416</v>
      </c>
      <c r="J161" s="468">
        <f t="shared" si="21"/>
        <v>22182</v>
      </c>
      <c r="K161" s="484"/>
      <c r="L161" s="485">
        <f t="shared" si="12"/>
        <v>22182</v>
      </c>
      <c r="M161" s="484" t="s">
        <v>579</v>
      </c>
      <c r="N161" s="469">
        <v>3.6058989272000002</v>
      </c>
      <c r="O161" s="486">
        <f t="shared" si="13"/>
        <v>79986</v>
      </c>
      <c r="P161" s="461"/>
      <c r="Q161" s="37">
        <v>1208.9796315789472</v>
      </c>
      <c r="R161" s="469">
        <v>0.2036</v>
      </c>
      <c r="S161" s="486">
        <f t="shared" si="14"/>
        <v>9353.6336135999991</v>
      </c>
      <c r="T161" s="461"/>
      <c r="U161" s="37">
        <v>0</v>
      </c>
      <c r="V161" s="469">
        <v>1.7611399999999999</v>
      </c>
      <c r="W161" s="487">
        <f t="shared" si="15"/>
        <v>0</v>
      </c>
      <c r="X161" s="457"/>
      <c r="Y161" s="488"/>
      <c r="Z161" s="463"/>
      <c r="AA161" s="488"/>
      <c r="AB161" s="463"/>
      <c r="AC161" s="488"/>
      <c r="AD161" s="457"/>
      <c r="AE161" s="489"/>
      <c r="AF161" s="490"/>
      <c r="AG161" s="476">
        <f t="shared" si="16"/>
        <v>0</v>
      </c>
      <c r="AH161" s="457"/>
      <c r="AI161" s="37">
        <v>293.05018421052631</v>
      </c>
      <c r="AJ161" s="469">
        <v>0.2036</v>
      </c>
      <c r="AK161" s="486">
        <f t="shared" si="17"/>
        <v>2267.2706652000002</v>
      </c>
      <c r="AL161" s="457"/>
      <c r="AM161" s="477">
        <f t="shared" si="18"/>
        <v>91606.904278799993</v>
      </c>
      <c r="AN161" s="464"/>
      <c r="AO161" s="402"/>
      <c r="AP161" s="402"/>
      <c r="AQ161" s="402">
        <f t="shared" si="22"/>
        <v>91606.904278799993</v>
      </c>
      <c r="AR161" s="478"/>
    </row>
    <row r="162" spans="1:44" customFormat="1" ht="15" x14ac:dyDescent="0.25">
      <c r="A162" s="498" t="s">
        <v>744</v>
      </c>
      <c r="B162" s="198"/>
      <c r="C162" s="256" t="s">
        <v>745</v>
      </c>
      <c r="D162" s="457"/>
      <c r="E162" s="482"/>
      <c r="F162" s="483"/>
      <c r="G162" s="467">
        <v>900</v>
      </c>
      <c r="H162" s="467">
        <v>1470</v>
      </c>
      <c r="I162" s="467">
        <v>2340</v>
      </c>
      <c r="J162" s="468">
        <f t="shared" si="21"/>
        <v>4710</v>
      </c>
      <c r="K162" s="484"/>
      <c r="L162" s="485">
        <f t="shared" si="12"/>
        <v>4710</v>
      </c>
      <c r="M162" s="484" t="s">
        <v>579</v>
      </c>
      <c r="N162" s="469">
        <v>3.6058989272000002</v>
      </c>
      <c r="O162" s="486">
        <f t="shared" si="13"/>
        <v>16984</v>
      </c>
      <c r="P162" s="461"/>
      <c r="Q162" s="37">
        <v>150.15236842105264</v>
      </c>
      <c r="R162" s="469">
        <v>0.2036</v>
      </c>
      <c r="S162" s="486">
        <f t="shared" si="14"/>
        <v>1161.6988440000002</v>
      </c>
      <c r="T162" s="461"/>
      <c r="U162" s="37">
        <v>5.0613157894736842</v>
      </c>
      <c r="V162" s="469">
        <v>1.7611399999999999</v>
      </c>
      <c r="W162" s="487">
        <f t="shared" si="15"/>
        <v>338.72005619999999</v>
      </c>
      <c r="X162" s="457"/>
      <c r="Y162" s="488"/>
      <c r="Z162" s="463"/>
      <c r="AA162" s="488"/>
      <c r="AB162" s="463"/>
      <c r="AC162" s="488"/>
      <c r="AD162" s="457"/>
      <c r="AE162" s="489"/>
      <c r="AF162" s="490"/>
      <c r="AG162" s="476">
        <f t="shared" si="16"/>
        <v>0</v>
      </c>
      <c r="AH162" s="457"/>
      <c r="AI162" s="37">
        <v>0</v>
      </c>
      <c r="AJ162" s="469">
        <v>0.2036</v>
      </c>
      <c r="AK162" s="486">
        <f t="shared" si="17"/>
        <v>0</v>
      </c>
      <c r="AL162" s="457"/>
      <c r="AM162" s="477">
        <f t="shared" si="18"/>
        <v>18484.418900199998</v>
      </c>
      <c r="AN162" s="464"/>
      <c r="AO162" s="402"/>
      <c r="AP162" s="402"/>
      <c r="AQ162" s="402">
        <f t="shared" si="22"/>
        <v>18484.418900199998</v>
      </c>
      <c r="AR162" s="478"/>
    </row>
    <row r="163" spans="1:44" customFormat="1" ht="15" x14ac:dyDescent="0.25">
      <c r="A163" s="205" t="s">
        <v>746</v>
      </c>
      <c r="B163" s="196" t="s">
        <v>747</v>
      </c>
      <c r="C163" s="196" t="s">
        <v>748</v>
      </c>
      <c r="D163" s="457"/>
      <c r="E163" s="482"/>
      <c r="F163" s="483"/>
      <c r="G163" s="467">
        <v>9900</v>
      </c>
      <c r="H163" s="467">
        <v>7350</v>
      </c>
      <c r="I163" s="467">
        <v>8500</v>
      </c>
      <c r="J163" s="468">
        <f t="shared" si="21"/>
        <v>25750</v>
      </c>
      <c r="K163" s="484"/>
      <c r="L163" s="485">
        <f t="shared" si="12"/>
        <v>25750</v>
      </c>
      <c r="M163" s="484" t="s">
        <v>563</v>
      </c>
      <c r="N163" s="469">
        <v>3.6058989272000002</v>
      </c>
      <c r="O163" s="486">
        <f t="shared" si="13"/>
        <v>92852</v>
      </c>
      <c r="P163" s="461"/>
      <c r="Q163" s="37">
        <v>1268.1970263157896</v>
      </c>
      <c r="R163" s="469">
        <v>0.2036</v>
      </c>
      <c r="S163" s="486">
        <f t="shared" si="14"/>
        <v>9811.7867532000018</v>
      </c>
      <c r="T163" s="461"/>
      <c r="U163" s="37">
        <v>59.048684210526318</v>
      </c>
      <c r="V163" s="469">
        <v>1.7611399999999999</v>
      </c>
      <c r="W163" s="487">
        <f t="shared" si="15"/>
        <v>3951.7339890000003</v>
      </c>
      <c r="X163" s="457"/>
      <c r="Y163" s="488"/>
      <c r="Z163" s="463"/>
      <c r="AA163" s="488"/>
      <c r="AB163" s="463"/>
      <c r="AC163" s="488"/>
      <c r="AD163" s="457"/>
      <c r="AE163" s="489"/>
      <c r="AF163" s="490"/>
      <c r="AG163" s="476">
        <f t="shared" si="16"/>
        <v>0</v>
      </c>
      <c r="AH163" s="457"/>
      <c r="AI163" s="37">
        <v>67.484210526315792</v>
      </c>
      <c r="AJ163" s="469">
        <v>0.2036</v>
      </c>
      <c r="AK163" s="486">
        <f t="shared" si="17"/>
        <v>522.11184000000003</v>
      </c>
      <c r="AL163" s="457"/>
      <c r="AM163" s="477">
        <f t="shared" si="18"/>
        <v>107137.63258220001</v>
      </c>
      <c r="AN163" s="464"/>
      <c r="AO163" s="402"/>
      <c r="AP163" s="402"/>
      <c r="AQ163" s="402">
        <f t="shared" si="22"/>
        <v>107137.63258220001</v>
      </c>
      <c r="AR163" s="478"/>
    </row>
    <row r="164" spans="1:44" customFormat="1" ht="15" x14ac:dyDescent="0.25">
      <c r="A164" s="196" t="s">
        <v>749</v>
      </c>
      <c r="B164" s="196" t="s">
        <v>750</v>
      </c>
      <c r="C164" s="196" t="s">
        <v>751</v>
      </c>
      <c r="D164" s="457"/>
      <c r="E164" s="482"/>
      <c r="F164" s="483"/>
      <c r="G164" s="467">
        <v>6000</v>
      </c>
      <c r="H164" s="467">
        <v>4788</v>
      </c>
      <c r="I164" s="467">
        <v>5188</v>
      </c>
      <c r="J164" s="468">
        <f t="shared" si="21"/>
        <v>15976</v>
      </c>
      <c r="K164" s="484"/>
      <c r="L164" s="485">
        <f t="shared" si="12"/>
        <v>15976</v>
      </c>
      <c r="M164" s="484" t="s">
        <v>563</v>
      </c>
      <c r="N164" s="469">
        <v>3.6058989272000002</v>
      </c>
      <c r="O164" s="486">
        <f t="shared" si="13"/>
        <v>57608</v>
      </c>
      <c r="P164" s="461"/>
      <c r="Q164" s="37">
        <v>10.460052631578947</v>
      </c>
      <c r="R164" s="469">
        <v>0.2036</v>
      </c>
      <c r="S164" s="486">
        <f t="shared" si="14"/>
        <v>80.927335200000002</v>
      </c>
      <c r="T164" s="461"/>
      <c r="U164" s="37">
        <v>0</v>
      </c>
      <c r="V164" s="469">
        <v>1.7611399999999999</v>
      </c>
      <c r="W164" s="487">
        <f t="shared" si="15"/>
        <v>0</v>
      </c>
      <c r="X164" s="457"/>
      <c r="Y164" s="488"/>
      <c r="Z164" s="463"/>
      <c r="AA164" s="488"/>
      <c r="AB164" s="463"/>
      <c r="AC164" s="488"/>
      <c r="AD164" s="457"/>
      <c r="AE164" s="489"/>
      <c r="AF164" s="490"/>
      <c r="AG164" s="476">
        <f t="shared" si="16"/>
        <v>0</v>
      </c>
      <c r="AH164" s="457"/>
      <c r="AI164" s="37">
        <v>5.0613157894736842</v>
      </c>
      <c r="AJ164" s="469">
        <v>0.2036</v>
      </c>
      <c r="AK164" s="486">
        <f t="shared" si="17"/>
        <v>39.158388000000002</v>
      </c>
      <c r="AL164" s="457"/>
      <c r="AM164" s="477">
        <f t="shared" si="18"/>
        <v>57728.085723199998</v>
      </c>
      <c r="AN164" s="464"/>
      <c r="AO164" s="402"/>
      <c r="AP164" s="402"/>
      <c r="AQ164" s="402">
        <f t="shared" si="22"/>
        <v>57728.085723199998</v>
      </c>
      <c r="AR164" s="478"/>
    </row>
    <row r="165" spans="1:44" customFormat="1" ht="15" x14ac:dyDescent="0.25">
      <c r="A165" s="196" t="s">
        <v>752</v>
      </c>
      <c r="B165" s="196" t="s">
        <v>750</v>
      </c>
      <c r="C165" s="196">
        <v>206103</v>
      </c>
      <c r="D165" s="457"/>
      <c r="E165" s="482"/>
      <c r="F165" s="483"/>
      <c r="G165" s="467">
        <v>7776</v>
      </c>
      <c r="H165" s="467">
        <v>5712</v>
      </c>
      <c r="I165" s="467">
        <v>5814</v>
      </c>
      <c r="J165" s="468">
        <f t="shared" si="21"/>
        <v>19302</v>
      </c>
      <c r="K165" s="484"/>
      <c r="L165" s="485">
        <f t="shared" si="12"/>
        <v>19302</v>
      </c>
      <c r="M165" s="484" t="s">
        <v>563</v>
      </c>
      <c r="N165" s="469">
        <v>3.6058989272000002</v>
      </c>
      <c r="O165" s="486">
        <f t="shared" si="13"/>
        <v>69601</v>
      </c>
      <c r="P165" s="461"/>
      <c r="Q165" s="37">
        <v>347.7123947368421</v>
      </c>
      <c r="R165" s="469">
        <v>0.2036</v>
      </c>
      <c r="S165" s="486">
        <f t="shared" si="14"/>
        <v>2690.1812556</v>
      </c>
      <c r="T165" s="461"/>
      <c r="U165" s="37">
        <v>10.966184210526317</v>
      </c>
      <c r="V165" s="469">
        <v>1.7611399999999999</v>
      </c>
      <c r="W165" s="487">
        <f t="shared" si="15"/>
        <v>733.89345509999998</v>
      </c>
      <c r="X165" s="457"/>
      <c r="Y165" s="488"/>
      <c r="Z165" s="463"/>
      <c r="AA165" s="488"/>
      <c r="AB165" s="463"/>
      <c r="AC165" s="488"/>
      <c r="AD165" s="457"/>
      <c r="AE165" s="489"/>
      <c r="AF165" s="490"/>
      <c r="AG165" s="476">
        <f t="shared" si="16"/>
        <v>0</v>
      </c>
      <c r="AH165" s="457"/>
      <c r="AI165" s="37">
        <v>31.548868421052632</v>
      </c>
      <c r="AJ165" s="469">
        <v>0.2036</v>
      </c>
      <c r="AK165" s="486">
        <f t="shared" si="17"/>
        <v>244.0872852</v>
      </c>
      <c r="AL165" s="457"/>
      <c r="AM165" s="477">
        <f t="shared" si="18"/>
        <v>73269.161995899995</v>
      </c>
      <c r="AN165" s="464"/>
      <c r="AO165" s="402"/>
      <c r="AP165" s="402"/>
      <c r="AQ165" s="402">
        <f t="shared" si="22"/>
        <v>73269.161995899995</v>
      </c>
      <c r="AR165" s="478"/>
    </row>
    <row r="166" spans="1:44" customFormat="1" ht="15" x14ac:dyDescent="0.25">
      <c r="A166" s="196" t="s">
        <v>753</v>
      </c>
      <c r="B166" s="196" t="s">
        <v>754</v>
      </c>
      <c r="C166" s="196" t="s">
        <v>755</v>
      </c>
      <c r="D166" s="457"/>
      <c r="E166" s="482"/>
      <c r="F166" s="483"/>
      <c r="G166" s="467">
        <v>1080</v>
      </c>
      <c r="H166" s="467">
        <v>1260</v>
      </c>
      <c r="I166" s="467">
        <v>1080</v>
      </c>
      <c r="J166" s="468">
        <f t="shared" si="21"/>
        <v>3420</v>
      </c>
      <c r="K166" s="484"/>
      <c r="L166" s="485">
        <f t="shared" si="12"/>
        <v>3420</v>
      </c>
      <c r="M166" s="484" t="s">
        <v>563</v>
      </c>
      <c r="N166" s="469">
        <v>3.6058989272000002</v>
      </c>
      <c r="O166" s="486">
        <f t="shared" si="13"/>
        <v>12332</v>
      </c>
      <c r="P166" s="461"/>
      <c r="Q166" s="37">
        <v>106.28763157894738</v>
      </c>
      <c r="R166" s="469">
        <v>0.2036</v>
      </c>
      <c r="S166" s="486">
        <f t="shared" si="14"/>
        <v>822.3261480000001</v>
      </c>
      <c r="T166" s="461"/>
      <c r="U166" s="37">
        <v>54.549736842105268</v>
      </c>
      <c r="V166" s="469">
        <v>1.7611399999999999</v>
      </c>
      <c r="W166" s="487">
        <f t="shared" si="15"/>
        <v>3650.6494946000003</v>
      </c>
      <c r="X166" s="457"/>
      <c r="Y166" s="488"/>
      <c r="Z166" s="463"/>
      <c r="AA166" s="488"/>
      <c r="AB166" s="463"/>
      <c r="AC166" s="488"/>
      <c r="AD166" s="457"/>
      <c r="AE166" s="489"/>
      <c r="AF166" s="490"/>
      <c r="AG166" s="476">
        <f t="shared" si="16"/>
        <v>0</v>
      </c>
      <c r="AH166" s="457"/>
      <c r="AI166" s="37">
        <v>30.086710526315791</v>
      </c>
      <c r="AJ166" s="469">
        <v>0.2036</v>
      </c>
      <c r="AK166" s="486">
        <f t="shared" si="17"/>
        <v>232.77486200000001</v>
      </c>
      <c r="AL166" s="457"/>
      <c r="AM166" s="477">
        <f t="shared" si="18"/>
        <v>17037.750504600001</v>
      </c>
      <c r="AN166" s="464"/>
      <c r="AO166" s="402"/>
      <c r="AP166" s="402"/>
      <c r="AQ166" s="402">
        <f t="shared" si="22"/>
        <v>17037.750504600001</v>
      </c>
      <c r="AR166" s="478"/>
    </row>
    <row r="167" spans="1:44" customFormat="1" ht="15" x14ac:dyDescent="0.25">
      <c r="A167" s="196" t="s">
        <v>756</v>
      </c>
      <c r="B167" s="196" t="s">
        <v>757</v>
      </c>
      <c r="C167" s="196" t="s">
        <v>758</v>
      </c>
      <c r="D167" s="457"/>
      <c r="E167" s="482"/>
      <c r="F167" s="483"/>
      <c r="G167" s="467">
        <v>7000</v>
      </c>
      <c r="H167" s="467">
        <v>5040</v>
      </c>
      <c r="I167" s="467">
        <v>5220</v>
      </c>
      <c r="J167" s="468">
        <f t="shared" si="21"/>
        <v>17260</v>
      </c>
      <c r="K167" s="484"/>
      <c r="L167" s="485">
        <f t="shared" si="12"/>
        <v>17260</v>
      </c>
      <c r="M167" s="484" t="s">
        <v>563</v>
      </c>
      <c r="N167" s="469">
        <v>3.6058989272000002</v>
      </c>
      <c r="O167" s="486">
        <f t="shared" si="13"/>
        <v>62238</v>
      </c>
      <c r="P167" s="461"/>
      <c r="Q167" s="37">
        <v>1073.8425</v>
      </c>
      <c r="R167" s="469">
        <v>0.2036</v>
      </c>
      <c r="S167" s="486">
        <f t="shared" si="14"/>
        <v>8308.1046540000007</v>
      </c>
      <c r="T167" s="461"/>
      <c r="U167" s="37">
        <v>21.932368421052633</v>
      </c>
      <c r="V167" s="469">
        <v>1.7611399999999999</v>
      </c>
      <c r="W167" s="487">
        <f t="shared" si="15"/>
        <v>1467.7869102</v>
      </c>
      <c r="X167" s="457"/>
      <c r="Y167" s="488"/>
      <c r="Z167" s="463"/>
      <c r="AA167" s="488"/>
      <c r="AB167" s="463"/>
      <c r="AC167" s="488"/>
      <c r="AD167" s="457"/>
      <c r="AE167" s="489"/>
      <c r="AF167" s="490"/>
      <c r="AG167" s="476">
        <f t="shared" si="16"/>
        <v>0</v>
      </c>
      <c r="AH167" s="457"/>
      <c r="AI167" s="37">
        <v>107.13118421052631</v>
      </c>
      <c r="AJ167" s="469">
        <v>0.2036</v>
      </c>
      <c r="AK167" s="486">
        <f t="shared" si="17"/>
        <v>828.85254599999996</v>
      </c>
      <c r="AL167" s="457"/>
      <c r="AM167" s="477">
        <f t="shared" si="18"/>
        <v>72842.744110200001</v>
      </c>
      <c r="AN167" s="464"/>
      <c r="AO167" s="402"/>
      <c r="AP167" s="402"/>
      <c r="AQ167" s="402">
        <f t="shared" si="22"/>
        <v>72842.744110200001</v>
      </c>
      <c r="AR167" s="478"/>
    </row>
    <row r="168" spans="1:44" customFormat="1" ht="15" x14ac:dyDescent="0.25">
      <c r="A168" s="196" t="s">
        <v>759</v>
      </c>
      <c r="B168" s="196" t="s">
        <v>760</v>
      </c>
      <c r="C168" s="196">
        <v>258420</v>
      </c>
      <c r="D168" s="457"/>
      <c r="E168" s="482"/>
      <c r="F168" s="483"/>
      <c r="G168" s="467">
        <v>5000</v>
      </c>
      <c r="H168" s="467">
        <v>5000</v>
      </c>
      <c r="I168" s="467">
        <v>4000</v>
      </c>
      <c r="J168" s="468">
        <f t="shared" si="21"/>
        <v>14000</v>
      </c>
      <c r="K168" s="484"/>
      <c r="L168" s="485">
        <f t="shared" si="12"/>
        <v>14000</v>
      </c>
      <c r="M168" s="484" t="s">
        <v>563</v>
      </c>
      <c r="N168" s="469">
        <v>3.6058989272000002</v>
      </c>
      <c r="O168" s="486">
        <f t="shared" si="13"/>
        <v>50483</v>
      </c>
      <c r="P168" s="461"/>
      <c r="Q168" s="37">
        <v>280.50936842105261</v>
      </c>
      <c r="R168" s="469">
        <v>0.2036</v>
      </c>
      <c r="S168" s="486">
        <f t="shared" si="14"/>
        <v>2170.2448816000001</v>
      </c>
      <c r="T168" s="461"/>
      <c r="U168" s="37">
        <v>10.122631578947368</v>
      </c>
      <c r="V168" s="469">
        <v>1.7611399999999999</v>
      </c>
      <c r="W168" s="487">
        <f t="shared" si="15"/>
        <v>677.44011239999998</v>
      </c>
      <c r="X168" s="457"/>
      <c r="Y168" s="488"/>
      <c r="Z168" s="463"/>
      <c r="AA168" s="488"/>
      <c r="AB168" s="463"/>
      <c r="AC168" s="488"/>
      <c r="AD168" s="457"/>
      <c r="AE168" s="489"/>
      <c r="AF168" s="490"/>
      <c r="AG168" s="476">
        <f t="shared" si="16"/>
        <v>0</v>
      </c>
      <c r="AH168" s="457"/>
      <c r="AI168" s="37">
        <v>10.966184210526317</v>
      </c>
      <c r="AJ168" s="469">
        <v>0.2036</v>
      </c>
      <c r="AK168" s="486">
        <f t="shared" si="17"/>
        <v>84.843174000000005</v>
      </c>
      <c r="AL168" s="457"/>
      <c r="AM168" s="477">
        <f t="shared" si="18"/>
        <v>53415.528167999997</v>
      </c>
      <c r="AN168" s="464"/>
      <c r="AO168" s="402"/>
      <c r="AP168" s="402"/>
      <c r="AQ168" s="402">
        <f t="shared" si="22"/>
        <v>53415.528167999997</v>
      </c>
      <c r="AR168" s="478"/>
    </row>
    <row r="169" spans="1:44" customFormat="1" ht="15" x14ac:dyDescent="0.25">
      <c r="A169" s="196" t="s">
        <v>761</v>
      </c>
      <c r="B169" s="196" t="s">
        <v>762</v>
      </c>
      <c r="C169" s="196">
        <v>258424</v>
      </c>
      <c r="D169" s="457"/>
      <c r="E169" s="482"/>
      <c r="F169" s="483"/>
      <c r="G169" s="467">
        <v>9000</v>
      </c>
      <c r="H169" s="467">
        <v>6300</v>
      </c>
      <c r="I169" s="467">
        <v>7200</v>
      </c>
      <c r="J169" s="468">
        <f t="shared" si="21"/>
        <v>22500</v>
      </c>
      <c r="K169" s="484"/>
      <c r="L169" s="485">
        <f t="shared" si="12"/>
        <v>22500</v>
      </c>
      <c r="M169" s="484" t="s">
        <v>563</v>
      </c>
      <c r="N169" s="469">
        <v>3.6058989272000002</v>
      </c>
      <c r="O169" s="486">
        <f t="shared" si="13"/>
        <v>81133</v>
      </c>
      <c r="P169" s="461"/>
      <c r="Q169" s="37">
        <v>275.50428947368425</v>
      </c>
      <c r="R169" s="469">
        <v>0.2036</v>
      </c>
      <c r="S169" s="486">
        <f t="shared" si="14"/>
        <v>2131.5215868000005</v>
      </c>
      <c r="T169" s="461"/>
      <c r="U169" s="37">
        <v>10.966184210526317</v>
      </c>
      <c r="V169" s="469">
        <v>1.7611399999999999</v>
      </c>
      <c r="W169" s="487">
        <f t="shared" si="15"/>
        <v>733.89345509999998</v>
      </c>
      <c r="X169" s="457"/>
      <c r="Y169" s="488"/>
      <c r="Z169" s="463"/>
      <c r="AA169" s="488"/>
      <c r="AB169" s="463"/>
      <c r="AC169" s="488"/>
      <c r="AD169" s="457"/>
      <c r="AE169" s="489"/>
      <c r="AF169" s="490"/>
      <c r="AG169" s="476">
        <f t="shared" si="16"/>
        <v>0</v>
      </c>
      <c r="AH169" s="457"/>
      <c r="AI169" s="37">
        <v>9.1103684210526321</v>
      </c>
      <c r="AJ169" s="469">
        <v>0.2036</v>
      </c>
      <c r="AK169" s="486">
        <f t="shared" si="17"/>
        <v>70.485098400000012</v>
      </c>
      <c r="AL169" s="457"/>
      <c r="AM169" s="477">
        <f t="shared" si="18"/>
        <v>84068.9001403</v>
      </c>
      <c r="AN169" s="464"/>
      <c r="AO169" s="402"/>
      <c r="AP169" s="402"/>
      <c r="AQ169" s="402">
        <f t="shared" si="22"/>
        <v>84068.9001403</v>
      </c>
      <c r="AR169" s="478"/>
    </row>
    <row r="170" spans="1:44" customFormat="1" ht="15" x14ac:dyDescent="0.25">
      <c r="A170" s="499" t="s">
        <v>763</v>
      </c>
      <c r="B170" s="500"/>
      <c r="C170" s="500" t="s">
        <v>764</v>
      </c>
      <c r="D170" s="457"/>
      <c r="E170" s="482"/>
      <c r="F170" s="483"/>
      <c r="G170" s="467">
        <v>0</v>
      </c>
      <c r="H170" s="467">
        <v>720</v>
      </c>
      <c r="I170" s="467">
        <v>1440</v>
      </c>
      <c r="J170" s="468">
        <f t="shared" si="21"/>
        <v>2160</v>
      </c>
      <c r="K170" s="484"/>
      <c r="L170" s="485">
        <f t="shared" ref="L170" si="23">IF(K170&lt;0,F170,J170)</f>
        <v>2160</v>
      </c>
      <c r="M170" s="484" t="s">
        <v>579</v>
      </c>
      <c r="N170" s="469">
        <v>3.6058989272000002</v>
      </c>
      <c r="O170" s="486">
        <f t="shared" ref="O170" si="24">ROUND(N170*L170,0)</f>
        <v>7789</v>
      </c>
      <c r="P170" s="461"/>
      <c r="Q170" s="37">
        <v>56.842105263157897</v>
      </c>
      <c r="R170" s="469">
        <v>0.2036</v>
      </c>
      <c r="S170" s="486">
        <f t="shared" ref="S170" si="25">Q170*R170*38</f>
        <v>439.77600000000001</v>
      </c>
      <c r="T170" s="461"/>
      <c r="U170" s="37">
        <v>3.5294117647058827</v>
      </c>
      <c r="V170" s="469">
        <v>1.7611399999999999</v>
      </c>
      <c r="W170" s="487">
        <f t="shared" ref="W170" si="26">U170*V170*38</f>
        <v>236.19995294117649</v>
      </c>
      <c r="X170" s="457"/>
      <c r="Y170" s="488"/>
      <c r="Z170" s="463"/>
      <c r="AA170" s="488"/>
      <c r="AB170" s="463"/>
      <c r="AC170" s="488"/>
      <c r="AD170" s="457"/>
      <c r="AE170" s="489"/>
      <c r="AF170" s="490"/>
      <c r="AG170" s="476">
        <f t="shared" ref="AG170:AG174" si="27">AF170*AE170</f>
        <v>0</v>
      </c>
      <c r="AH170" s="457"/>
      <c r="AI170" s="37">
        <v>56.842105263157897</v>
      </c>
      <c r="AJ170" s="469">
        <v>0.2036</v>
      </c>
      <c r="AK170" s="486">
        <f t="shared" ref="AK170" si="28">AJ170*AI170*38</f>
        <v>439.77600000000001</v>
      </c>
      <c r="AL170" s="457"/>
      <c r="AM170" s="477">
        <f t="shared" ref="AM170:AM175" si="29">SUM(AK170,AG170,W170,S170,O170,Y170,AA170,AC170)</f>
        <v>8904.7519529411766</v>
      </c>
      <c r="AN170" s="464"/>
      <c r="AO170" s="402"/>
      <c r="AP170" s="402"/>
      <c r="AQ170" s="402">
        <f t="shared" si="22"/>
        <v>8904.7519529411766</v>
      </c>
      <c r="AR170" s="478"/>
    </row>
    <row r="171" spans="1:44" customFormat="1" ht="15" x14ac:dyDescent="0.25">
      <c r="A171" s="198" t="s">
        <v>765</v>
      </c>
      <c r="B171" s="198" t="s">
        <v>766</v>
      </c>
      <c r="C171" s="521" t="s">
        <v>767</v>
      </c>
      <c r="D171" s="457"/>
      <c r="E171" s="482"/>
      <c r="F171" s="483"/>
      <c r="G171" s="467">
        <v>6000</v>
      </c>
      <c r="H171" s="467">
        <v>3360</v>
      </c>
      <c r="I171" s="467">
        <v>4150</v>
      </c>
      <c r="J171" s="468">
        <f t="shared" si="21"/>
        <v>13510</v>
      </c>
      <c r="K171" s="484"/>
      <c r="L171" s="485">
        <f>IF(K171&lt;0,F171,J171)</f>
        <v>13510</v>
      </c>
      <c r="M171" s="484" t="s">
        <v>579</v>
      </c>
      <c r="N171" s="469">
        <v>3.6058989272000002</v>
      </c>
      <c r="O171" s="486">
        <f>ROUND(N171*L171,0)</f>
        <v>48716</v>
      </c>
      <c r="P171" s="461"/>
      <c r="Q171" s="37">
        <v>207.85136842105265</v>
      </c>
      <c r="R171" s="469">
        <v>0.2036</v>
      </c>
      <c r="S171" s="486">
        <f>Q171*R171*38</f>
        <v>1608.1044672</v>
      </c>
      <c r="T171" s="461"/>
      <c r="U171" s="37">
        <v>5.0613157894736842</v>
      </c>
      <c r="V171" s="469">
        <v>1.7611399999999999</v>
      </c>
      <c r="W171" s="487">
        <f>U171*V171*38</f>
        <v>338.72005619999999</v>
      </c>
      <c r="X171" s="457"/>
      <c r="Y171" s="488"/>
      <c r="Z171" s="463"/>
      <c r="AA171" s="488"/>
      <c r="AB171" s="463"/>
      <c r="AC171" s="488"/>
      <c r="AD171" s="457"/>
      <c r="AE171" s="489"/>
      <c r="AF171" s="490"/>
      <c r="AG171" s="476">
        <f t="shared" si="27"/>
        <v>0</v>
      </c>
      <c r="AH171" s="457"/>
      <c r="AI171" s="37">
        <v>9.1103684210526321</v>
      </c>
      <c r="AJ171" s="469">
        <v>0.2036</v>
      </c>
      <c r="AK171" s="486">
        <f>AJ171*AI171*38</f>
        <v>70.485098400000012</v>
      </c>
      <c r="AL171" s="457"/>
      <c r="AM171" s="477">
        <f t="shared" si="29"/>
        <v>50733.309621799999</v>
      </c>
      <c r="AN171" s="464"/>
      <c r="AO171" s="402"/>
      <c r="AP171" s="402"/>
      <c r="AQ171" s="402">
        <f t="shared" si="22"/>
        <v>50733.309621799999</v>
      </c>
      <c r="AR171" s="478"/>
    </row>
    <row r="172" spans="1:44" customFormat="1" ht="15" x14ac:dyDescent="0.25">
      <c r="A172" s="536" t="s">
        <v>768</v>
      </c>
      <c r="B172" s="198"/>
      <c r="C172" s="537" t="s">
        <v>769</v>
      </c>
      <c r="D172" s="457"/>
      <c r="E172" s="482"/>
      <c r="F172" s="483"/>
      <c r="G172" s="467">
        <v>8280</v>
      </c>
      <c r="H172" s="467">
        <v>11130</v>
      </c>
      <c r="I172" s="467">
        <v>12600</v>
      </c>
      <c r="J172" s="468">
        <f t="shared" si="21"/>
        <v>32010</v>
      </c>
      <c r="K172" s="484"/>
      <c r="L172" s="485">
        <f>IF(K172&lt;0,F172,J172)</f>
        <v>32010</v>
      </c>
      <c r="M172" s="484" t="s">
        <v>563</v>
      </c>
      <c r="N172" s="469">
        <v>3.6058989272000002</v>
      </c>
      <c r="O172" s="486">
        <f>ROUND(N172*L172,0)</f>
        <v>115425</v>
      </c>
      <c r="P172" s="461"/>
      <c r="Q172" s="37">
        <v>177.48347368421054</v>
      </c>
      <c r="R172" s="469">
        <v>0.2036</v>
      </c>
      <c r="S172" s="486">
        <f>Q172*R172*38</f>
        <v>1373.1541392000001</v>
      </c>
      <c r="T172" s="461"/>
      <c r="U172" s="37">
        <v>0</v>
      </c>
      <c r="V172" s="469">
        <v>1.7611399999999999</v>
      </c>
      <c r="W172" s="487">
        <f>U172*V172*38</f>
        <v>0</v>
      </c>
      <c r="X172" s="457"/>
      <c r="Y172" s="488"/>
      <c r="Z172" s="463"/>
      <c r="AA172" s="488"/>
      <c r="AB172" s="463"/>
      <c r="AC172" s="488"/>
      <c r="AD172" s="457"/>
      <c r="AE172" s="489"/>
      <c r="AF172" s="490"/>
      <c r="AG172" s="476">
        <f t="shared" si="27"/>
        <v>0</v>
      </c>
      <c r="AH172" s="457"/>
      <c r="AI172" s="37">
        <v>10.122631578947368</v>
      </c>
      <c r="AJ172" s="469">
        <v>0.2036</v>
      </c>
      <c r="AK172" s="486">
        <f>AJ172*AI172*38</f>
        <v>78.316776000000004</v>
      </c>
      <c r="AL172" s="457"/>
      <c r="AM172" s="477">
        <f t="shared" si="29"/>
        <v>116876.4709152</v>
      </c>
      <c r="AN172" s="464"/>
      <c r="AO172" s="402"/>
      <c r="AP172" s="402"/>
      <c r="AQ172" s="402">
        <f t="shared" si="22"/>
        <v>116876.4709152</v>
      </c>
      <c r="AR172" s="478"/>
    </row>
    <row r="173" spans="1:44" customFormat="1" ht="15" x14ac:dyDescent="0.25">
      <c r="A173" s="538" t="s">
        <v>770</v>
      </c>
      <c r="B173" s="539" t="s">
        <v>771</v>
      </c>
      <c r="C173" s="539" t="s">
        <v>771</v>
      </c>
      <c r="D173" s="457"/>
      <c r="E173" s="482"/>
      <c r="F173" s="483"/>
      <c r="G173" s="467">
        <v>10620</v>
      </c>
      <c r="H173" s="467">
        <v>10500</v>
      </c>
      <c r="I173" s="467">
        <v>11340</v>
      </c>
      <c r="J173" s="468">
        <f t="shared" si="21"/>
        <v>32460</v>
      </c>
      <c r="K173" s="484"/>
      <c r="L173" s="485">
        <f>IF(K173&lt;0,F173,J173)</f>
        <v>32460</v>
      </c>
      <c r="M173" s="484" t="s">
        <v>563</v>
      </c>
      <c r="N173" s="469">
        <v>3.6058989272000002</v>
      </c>
      <c r="O173" s="486">
        <f>ROUND(N173*L173,0)</f>
        <v>117047</v>
      </c>
      <c r="P173" s="461"/>
      <c r="Q173" s="37">
        <v>556.74473684210523</v>
      </c>
      <c r="R173" s="469">
        <v>0.2036</v>
      </c>
      <c r="S173" s="486">
        <f>Q173*R173*38</f>
        <v>4307.4226799999997</v>
      </c>
      <c r="T173" s="461"/>
      <c r="U173" s="37">
        <v>5.0613157894736842</v>
      </c>
      <c r="V173" s="469">
        <v>1.7611399999999999</v>
      </c>
      <c r="W173" s="487">
        <f>U173*V173*38</f>
        <v>338.72005619999999</v>
      </c>
      <c r="X173" s="457"/>
      <c r="Y173" s="488"/>
      <c r="Z173" s="463"/>
      <c r="AA173" s="488"/>
      <c r="AB173" s="463"/>
      <c r="AC173" s="488"/>
      <c r="AD173" s="457"/>
      <c r="AE173" s="489"/>
      <c r="AF173" s="490"/>
      <c r="AG173" s="476">
        <f t="shared" si="27"/>
        <v>0</v>
      </c>
      <c r="AH173" s="457"/>
      <c r="AI173" s="37">
        <v>0</v>
      </c>
      <c r="AJ173" s="469">
        <v>0.2036</v>
      </c>
      <c r="AK173" s="486">
        <f>AJ173*AI173*38</f>
        <v>0</v>
      </c>
      <c r="AL173" s="457"/>
      <c r="AM173" s="477">
        <f t="shared" si="29"/>
        <v>121693.1427362</v>
      </c>
      <c r="AN173" s="464"/>
      <c r="AO173" s="402"/>
      <c r="AP173" s="402"/>
      <c r="AQ173" s="402">
        <f t="shared" si="22"/>
        <v>121693.1427362</v>
      </c>
      <c r="AR173" s="478"/>
    </row>
    <row r="174" spans="1:44" customFormat="1" ht="15" x14ac:dyDescent="0.25">
      <c r="A174" s="205" t="s">
        <v>772</v>
      </c>
      <c r="B174" s="196" t="s">
        <v>773</v>
      </c>
      <c r="C174" s="196">
        <v>509204</v>
      </c>
      <c r="D174" s="457"/>
      <c r="E174" s="540"/>
      <c r="F174" s="541"/>
      <c r="G174" s="467">
        <v>8256</v>
      </c>
      <c r="H174" s="467">
        <v>8722</v>
      </c>
      <c r="I174" s="467">
        <v>10404</v>
      </c>
      <c r="J174" s="468">
        <f t="shared" si="21"/>
        <v>27382</v>
      </c>
      <c r="K174" s="542"/>
      <c r="L174" s="543">
        <f>IF(K174&lt;0,F174,J174)</f>
        <v>27382</v>
      </c>
      <c r="M174" s="542" t="s">
        <v>563</v>
      </c>
      <c r="N174" s="469">
        <v>3.6058989272000002</v>
      </c>
      <c r="O174" s="544">
        <f>ROUND(N174*L174,0)</f>
        <v>98737</v>
      </c>
      <c r="P174" s="461"/>
      <c r="Q174" s="37">
        <v>175.12152631578948</v>
      </c>
      <c r="R174" s="469">
        <v>0.2036</v>
      </c>
      <c r="S174" s="544">
        <f>Q174*R174*38</f>
        <v>1354.8802248</v>
      </c>
      <c r="T174" s="461"/>
      <c r="U174" s="37">
        <v>0</v>
      </c>
      <c r="V174" s="469">
        <v>1.7611399999999999</v>
      </c>
      <c r="W174" s="545">
        <f>U174*V174*38</f>
        <v>0</v>
      </c>
      <c r="X174" s="457"/>
      <c r="Y174" s="546"/>
      <c r="Z174" s="463"/>
      <c r="AA174" s="546"/>
      <c r="AB174" s="463"/>
      <c r="AC174" s="546"/>
      <c r="AD174" s="457"/>
      <c r="AE174" s="547"/>
      <c r="AF174" s="548"/>
      <c r="AG174" s="476">
        <f t="shared" si="27"/>
        <v>0</v>
      </c>
      <c r="AH174" s="457"/>
      <c r="AI174" s="37">
        <v>10.966184210526317</v>
      </c>
      <c r="AJ174" s="469">
        <v>0.2036</v>
      </c>
      <c r="AK174" s="544">
        <f>AJ174*AI174*38</f>
        <v>84.843174000000005</v>
      </c>
      <c r="AL174" s="457"/>
      <c r="AM174" s="477">
        <f t="shared" si="29"/>
        <v>100176.72339879999</v>
      </c>
      <c r="AN174" s="464"/>
      <c r="AO174" s="402"/>
      <c r="AP174" s="402"/>
      <c r="AQ174" s="402">
        <f t="shared" si="22"/>
        <v>100176.72339879999</v>
      </c>
      <c r="AR174" s="478"/>
    </row>
    <row r="175" spans="1:44" customFormat="1" ht="15" x14ac:dyDescent="0.25">
      <c r="A175" s="205" t="s">
        <v>774</v>
      </c>
      <c r="B175" s="196"/>
      <c r="C175" s="196"/>
      <c r="D175" s="457"/>
      <c r="E175" s="458"/>
      <c r="F175" s="458"/>
      <c r="G175" s="315"/>
      <c r="H175" s="315"/>
      <c r="I175" s="315"/>
      <c r="J175" s="459"/>
      <c r="K175" s="458"/>
      <c r="L175" s="549"/>
      <c r="M175" s="458"/>
      <c r="N175" s="458"/>
      <c r="O175" s="460"/>
      <c r="P175" s="461"/>
      <c r="Q175" s="550"/>
      <c r="R175" s="458"/>
      <c r="S175" s="460"/>
      <c r="T175" s="551"/>
      <c r="U175" s="552"/>
      <c r="V175" s="458"/>
      <c r="W175" s="315"/>
      <c r="X175" s="457"/>
      <c r="Y175" s="462"/>
      <c r="Z175" s="463"/>
      <c r="AA175" s="462"/>
      <c r="AB175" s="463"/>
      <c r="AC175" s="462"/>
      <c r="AD175" s="457"/>
      <c r="AE175" s="458"/>
      <c r="AF175" s="458"/>
      <c r="AG175" s="553"/>
      <c r="AH175" s="457"/>
      <c r="AI175" s="550"/>
      <c r="AJ175" s="458"/>
      <c r="AK175" s="460"/>
      <c r="AL175" s="457"/>
      <c r="AM175" s="477">
        <f t="shared" si="29"/>
        <v>0</v>
      </c>
      <c r="AN175" s="464"/>
      <c r="AO175" s="402"/>
      <c r="AP175" s="402">
        <v>80000</v>
      </c>
      <c r="AQ175" s="402">
        <f t="shared" si="22"/>
        <v>80000</v>
      </c>
      <c r="AR175" s="198"/>
    </row>
    <row r="176" spans="1:44" s="569" customFormat="1" ht="15" x14ac:dyDescent="0.25">
      <c r="A176" s="554" t="s">
        <v>775</v>
      </c>
      <c r="B176" s="555"/>
      <c r="C176" s="555"/>
      <c r="D176" s="556"/>
      <c r="E176" s="557"/>
      <c r="F176" s="558"/>
      <c r="G176" s="559">
        <f>SUM(G61:G175)</f>
        <v>429978</v>
      </c>
      <c r="H176" s="559">
        <f>SUM(H61:H175)</f>
        <v>369273</v>
      </c>
      <c r="I176" s="559">
        <f>SUM(I61:I175)</f>
        <v>401627</v>
      </c>
      <c r="J176" s="560">
        <f>SUM(J61:J175)</f>
        <v>1200878</v>
      </c>
      <c r="K176" s="561"/>
      <c r="L176" s="560">
        <f>SUM(L61:L175)</f>
        <v>1200878</v>
      </c>
      <c r="M176" s="558"/>
      <c r="N176" s="558"/>
      <c r="O176" s="562">
        <f>SUM(O61:O175)</f>
        <v>4330241</v>
      </c>
      <c r="P176" s="563"/>
      <c r="Q176" s="564">
        <f>SUM(Q61:Q175)</f>
        <v>28438.411013157878</v>
      </c>
      <c r="R176" s="558"/>
      <c r="S176" s="562">
        <f>SUM(S61:S175)</f>
        <v>220022.29832659999</v>
      </c>
      <c r="T176" s="563"/>
      <c r="U176" s="564">
        <f>SUM(U61:U175)</f>
        <v>690.95438080495364</v>
      </c>
      <c r="V176" s="558"/>
      <c r="W176" s="565">
        <f>SUM(W61:W175)</f>
        <v>46240.961132011755</v>
      </c>
      <c r="X176" s="556"/>
      <c r="Y176" s="566">
        <f>SUM(Y61:Y175)</f>
        <v>0</v>
      </c>
      <c r="Z176" s="556"/>
      <c r="AA176" s="566">
        <f>SUM(AA61:AA175)</f>
        <v>0</v>
      </c>
      <c r="AB176" s="556"/>
      <c r="AC176" s="566">
        <f>SUM(AC61:AC175)</f>
        <v>0</v>
      </c>
      <c r="AD176" s="556"/>
      <c r="AE176" s="558"/>
      <c r="AF176" s="558"/>
      <c r="AG176" s="562">
        <f>SUM(AG61:AG175)</f>
        <v>0</v>
      </c>
      <c r="AH176" s="556"/>
      <c r="AI176" s="564">
        <f>SUM(AI61:AI175)</f>
        <v>4064.0420789473692</v>
      </c>
      <c r="AJ176" s="558"/>
      <c r="AK176" s="562">
        <f>SUM(AK61:AK175)</f>
        <v>31442.680756400005</v>
      </c>
      <c r="AL176" s="556"/>
      <c r="AM176" s="402">
        <f>SUM(AM61:AM175)</f>
        <v>4627946.9402150111</v>
      </c>
      <c r="AN176" s="567"/>
      <c r="AO176" s="402">
        <f>SUM(AO61:AO175)</f>
        <v>0</v>
      </c>
      <c r="AP176" s="402">
        <f>SUM(AP61:AP175)</f>
        <v>80000</v>
      </c>
      <c r="AQ176" s="402">
        <f>SUM(AQ61:AQ175)</f>
        <v>4707946.9402150111</v>
      </c>
      <c r="AR176" s="568"/>
    </row>
    <row r="177" spans="1:45" customFormat="1" x14ac:dyDescent="0.2">
      <c r="A177" s="9" t="s">
        <v>177</v>
      </c>
      <c r="B177" s="9"/>
      <c r="C177" s="9" t="s">
        <v>178</v>
      </c>
      <c r="E177" s="570">
        <f>E176+E56</f>
        <v>63878</v>
      </c>
      <c r="F177" s="570">
        <f t="shared" ref="F177:AQ177" si="30">F176+F56</f>
        <v>1916340</v>
      </c>
      <c r="G177" s="570">
        <f t="shared" si="30"/>
        <v>936804</v>
      </c>
      <c r="H177" s="570">
        <f t="shared" si="30"/>
        <v>831693</v>
      </c>
      <c r="I177" s="570">
        <f t="shared" si="30"/>
        <v>869177</v>
      </c>
      <c r="J177" s="570">
        <f t="shared" si="30"/>
        <v>2637674</v>
      </c>
      <c r="K177" s="570">
        <f t="shared" si="30"/>
        <v>0</v>
      </c>
      <c r="L177" s="570">
        <f t="shared" si="30"/>
        <v>2637674</v>
      </c>
      <c r="M177" s="570">
        <f t="shared" si="30"/>
        <v>0</v>
      </c>
      <c r="N177" s="570">
        <f t="shared" si="30"/>
        <v>0</v>
      </c>
      <c r="O177" s="570">
        <f t="shared" si="30"/>
        <v>10036713</v>
      </c>
      <c r="P177" s="570">
        <f t="shared" si="30"/>
        <v>0</v>
      </c>
      <c r="Q177" s="570">
        <f t="shared" si="30"/>
        <v>92107.832065789466</v>
      </c>
      <c r="R177" s="570">
        <f t="shared" si="30"/>
        <v>0</v>
      </c>
      <c r="S177" s="570">
        <f t="shared" si="30"/>
        <v>712619.87512659992</v>
      </c>
      <c r="T177" s="570">
        <f t="shared" si="30"/>
        <v>0</v>
      </c>
      <c r="U177" s="570">
        <f t="shared" si="30"/>
        <v>1743.8491176470588</v>
      </c>
      <c r="V177" s="570">
        <f t="shared" si="30"/>
        <v>0</v>
      </c>
      <c r="W177" s="570">
        <f t="shared" si="30"/>
        <v>116704.17253201174</v>
      </c>
      <c r="X177" s="570">
        <f t="shared" si="30"/>
        <v>0</v>
      </c>
      <c r="Y177" s="570">
        <f t="shared" si="30"/>
        <v>252055</v>
      </c>
      <c r="Z177" s="570">
        <f t="shared" si="30"/>
        <v>0</v>
      </c>
      <c r="AA177" s="570">
        <f t="shared" si="30"/>
        <v>0</v>
      </c>
      <c r="AB177" s="570">
        <f t="shared" si="30"/>
        <v>0</v>
      </c>
      <c r="AC177" s="570">
        <f t="shared" si="30"/>
        <v>75258</v>
      </c>
      <c r="AD177" s="570">
        <f t="shared" si="30"/>
        <v>0</v>
      </c>
      <c r="AE177" s="570">
        <f t="shared" si="30"/>
        <v>8</v>
      </c>
      <c r="AF177" s="570">
        <f t="shared" si="30"/>
        <v>0</v>
      </c>
      <c r="AG177" s="570">
        <f t="shared" si="30"/>
        <v>800000</v>
      </c>
      <c r="AH177" s="570">
        <f t="shared" si="30"/>
        <v>0</v>
      </c>
      <c r="AI177" s="570">
        <f t="shared" si="30"/>
        <v>12921.147342105265</v>
      </c>
      <c r="AJ177" s="570">
        <f t="shared" si="30"/>
        <v>0</v>
      </c>
      <c r="AK177" s="570">
        <f t="shared" si="30"/>
        <v>99968.332756400006</v>
      </c>
      <c r="AL177" s="570">
        <f t="shared" si="30"/>
        <v>0</v>
      </c>
      <c r="AM177" s="570">
        <f t="shared" si="30"/>
        <v>12093318.380415011</v>
      </c>
      <c r="AN177" s="570">
        <f t="shared" si="30"/>
        <v>0</v>
      </c>
      <c r="AO177" s="570">
        <f t="shared" si="30"/>
        <v>-227074.80013159994</v>
      </c>
      <c r="AP177" s="570">
        <f t="shared" si="30"/>
        <v>80000</v>
      </c>
      <c r="AQ177" s="570">
        <f t="shared" si="30"/>
        <v>11946243.580283415</v>
      </c>
      <c r="AR177" s="198"/>
    </row>
    <row r="178" spans="1:45" customFormat="1" x14ac:dyDescent="0.2">
      <c r="A178" s="198"/>
      <c r="E178" s="305"/>
      <c r="F178" s="305"/>
      <c r="G178" s="310"/>
      <c r="H178" s="310"/>
      <c r="I178" s="310"/>
      <c r="J178" s="570"/>
      <c r="K178" s="305"/>
      <c r="L178" s="305"/>
      <c r="M178" s="305"/>
      <c r="N178" s="305"/>
      <c r="O178" s="570"/>
      <c r="P178" s="305"/>
      <c r="Q178" s="305"/>
      <c r="R178" s="305"/>
      <c r="S178" s="570"/>
      <c r="T178" s="305"/>
      <c r="U178" s="305"/>
      <c r="V178" s="305"/>
      <c r="W178" s="310"/>
      <c r="Y178" s="571"/>
      <c r="AA178" s="571"/>
      <c r="AC178" s="571"/>
      <c r="AE178" s="305"/>
      <c r="AF178" s="305"/>
      <c r="AG178" s="570"/>
      <c r="AI178" s="305"/>
      <c r="AJ178" s="305"/>
      <c r="AK178" s="570"/>
      <c r="AM178" s="570"/>
      <c r="AO178" s="27"/>
      <c r="AP178" s="27"/>
      <c r="AQ178" s="27"/>
      <c r="AR178" s="198"/>
    </row>
    <row r="179" spans="1:45" s="198" customFormat="1" x14ac:dyDescent="0.2">
      <c r="A179" s="480" t="s">
        <v>776</v>
      </c>
      <c r="B179" s="211"/>
      <c r="C179" s="480"/>
      <c r="E179" s="572"/>
      <c r="F179" s="572"/>
      <c r="G179" s="573"/>
      <c r="H179" s="573"/>
      <c r="I179" s="573"/>
      <c r="J179" s="574"/>
      <c r="K179" s="572"/>
      <c r="L179" s="572"/>
      <c r="M179" s="572"/>
      <c r="N179" s="572"/>
      <c r="O179" s="574"/>
      <c r="P179" s="572"/>
      <c r="Q179" s="572"/>
      <c r="R179" s="572"/>
      <c r="S179" s="574"/>
      <c r="T179" s="572"/>
      <c r="U179" s="572"/>
      <c r="V179" s="572"/>
      <c r="W179" s="573"/>
      <c r="Y179" s="575"/>
      <c r="AA179" s="575"/>
      <c r="AC179" s="575"/>
      <c r="AE179" s="572"/>
      <c r="AF179" s="572"/>
      <c r="AG179" s="574"/>
      <c r="AI179" s="572"/>
      <c r="AJ179" s="572"/>
      <c r="AK179" s="574"/>
      <c r="AM179" s="574"/>
      <c r="AO179" s="27"/>
      <c r="AP179" s="27"/>
      <c r="AQ179" s="27"/>
      <c r="AR179" s="27"/>
    </row>
    <row r="180" spans="1:45" s="198" customFormat="1" x14ac:dyDescent="0.2">
      <c r="A180" s="480" t="s">
        <v>777</v>
      </c>
      <c r="B180" s="211">
        <f>O176</f>
        <v>4330241</v>
      </c>
      <c r="C180" s="480"/>
      <c r="E180" s="211"/>
      <c r="F180" s="572"/>
      <c r="G180" s="573"/>
      <c r="H180" s="573"/>
      <c r="I180" s="573"/>
      <c r="J180" s="574"/>
      <c r="K180" s="572"/>
      <c r="L180" s="572"/>
      <c r="M180" s="572"/>
      <c r="N180" s="572"/>
      <c r="O180" s="574"/>
      <c r="P180" s="572"/>
      <c r="Q180" s="574"/>
      <c r="R180" s="572"/>
      <c r="S180" s="574"/>
      <c r="T180" s="572"/>
      <c r="U180" s="574"/>
      <c r="V180" s="572"/>
      <c r="W180" s="574"/>
      <c r="Y180" s="574"/>
      <c r="AA180" s="574"/>
      <c r="AC180" s="574"/>
      <c r="AE180" s="572"/>
      <c r="AF180" s="572"/>
      <c r="AG180" s="574"/>
      <c r="AI180" s="574"/>
      <c r="AJ180" s="572"/>
      <c r="AK180" s="574"/>
      <c r="AM180" s="574"/>
      <c r="AO180" s="574"/>
      <c r="AP180" s="574"/>
      <c r="AQ180" s="574"/>
      <c r="AR180" s="574"/>
    </row>
    <row r="181" spans="1:45" s="198" customFormat="1" x14ac:dyDescent="0.2">
      <c r="A181" s="480" t="s">
        <v>778</v>
      </c>
      <c r="B181" s="211">
        <f>S176</f>
        <v>220022.29832659999</v>
      </c>
      <c r="C181" s="480"/>
      <c r="E181" s="211"/>
      <c r="G181" s="211"/>
      <c r="H181" s="211"/>
      <c r="I181" s="211"/>
      <c r="J181" s="27"/>
      <c r="AO181" s="27"/>
      <c r="AP181" s="27"/>
    </row>
    <row r="182" spans="1:45" s="198" customFormat="1" x14ac:dyDescent="0.2">
      <c r="A182" s="480" t="s">
        <v>779</v>
      </c>
      <c r="B182" s="211">
        <f>W176</f>
        <v>46240.961132011755</v>
      </c>
      <c r="C182" s="480"/>
      <c r="E182" s="211"/>
      <c r="F182" s="572"/>
      <c r="G182" s="573"/>
      <c r="H182" s="573"/>
      <c r="I182" s="573"/>
      <c r="J182" s="574"/>
      <c r="K182" s="572"/>
      <c r="L182" s="572"/>
      <c r="M182" s="572"/>
      <c r="N182" s="572"/>
      <c r="O182" s="574"/>
      <c r="P182" s="572"/>
      <c r="Q182" s="572"/>
      <c r="R182" s="572"/>
      <c r="S182" s="574"/>
      <c r="T182" s="572"/>
      <c r="U182" s="572"/>
      <c r="V182" s="572"/>
      <c r="W182" s="573"/>
      <c r="Y182" s="575"/>
      <c r="AA182" s="575"/>
      <c r="AC182" s="575"/>
      <c r="AE182" s="572"/>
      <c r="AF182" s="572"/>
      <c r="AG182" s="574"/>
      <c r="AI182" s="572"/>
      <c r="AJ182" s="572"/>
      <c r="AK182" s="574"/>
      <c r="AM182" s="574"/>
      <c r="AO182" s="27"/>
      <c r="AP182" s="27"/>
      <c r="AQ182" s="27"/>
    </row>
    <row r="183" spans="1:45" s="480" customFormat="1" x14ac:dyDescent="0.2">
      <c r="A183" s="480" t="s">
        <v>359</v>
      </c>
      <c r="B183" s="215">
        <f>AK176</f>
        <v>31442.680756400005</v>
      </c>
      <c r="E183" s="215"/>
      <c r="F183" s="576"/>
      <c r="G183" s="577"/>
      <c r="H183" s="577"/>
      <c r="I183" s="577"/>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8"/>
      <c r="AL183" s="578"/>
      <c r="AM183" s="578"/>
      <c r="AN183" s="578"/>
      <c r="AO183" s="578"/>
      <c r="AP183" s="578"/>
      <c r="AQ183" s="578"/>
      <c r="AR183" s="578"/>
      <c r="AS183" s="578"/>
    </row>
    <row r="184" spans="1:45" s="198" customFormat="1" x14ac:dyDescent="0.2">
      <c r="A184" s="579" t="s">
        <v>291</v>
      </c>
      <c r="B184" s="212">
        <f>SUM(B180:B183)</f>
        <v>4627946.9402150121</v>
      </c>
      <c r="C184" s="579"/>
      <c r="E184" s="212"/>
      <c r="F184" s="572"/>
      <c r="G184" s="573"/>
      <c r="H184" s="573"/>
      <c r="I184" s="573"/>
      <c r="J184" s="574"/>
      <c r="K184" s="572"/>
      <c r="L184" s="572"/>
      <c r="M184" s="572"/>
      <c r="N184" s="572"/>
      <c r="O184" s="574"/>
      <c r="P184" s="572"/>
      <c r="Q184" s="572"/>
      <c r="R184" s="572"/>
      <c r="S184" s="574"/>
      <c r="T184" s="572"/>
      <c r="U184" s="572"/>
      <c r="V184" s="572"/>
      <c r="W184" s="573"/>
      <c r="Y184" s="575"/>
      <c r="AA184" s="575"/>
      <c r="AC184" s="575"/>
      <c r="AE184" s="572"/>
      <c r="AF184" s="572"/>
      <c r="AG184" s="574"/>
      <c r="AI184" s="572"/>
      <c r="AJ184" s="572"/>
      <c r="AK184" s="574"/>
      <c r="AM184" s="574"/>
      <c r="AO184" s="27"/>
      <c r="AP184" s="27"/>
      <c r="AQ184" s="27"/>
    </row>
    <row r="185" spans="1:45" x14ac:dyDescent="0.2">
      <c r="A185" s="332" t="s">
        <v>501</v>
      </c>
      <c r="B185" s="324">
        <v>80000</v>
      </c>
    </row>
    <row r="186" spans="1:45" x14ac:dyDescent="0.2">
      <c r="B186" s="580">
        <f>B185+B184</f>
        <v>4707946.9402150121</v>
      </c>
    </row>
    <row r="187" spans="1:45" x14ac:dyDescent="0.2">
      <c r="H187" s="428"/>
      <c r="I187" s="428"/>
      <c r="J187" s="660"/>
      <c r="K187" s="428"/>
    </row>
    <row r="188" spans="1:45" x14ac:dyDescent="0.2">
      <c r="A188" s="332" t="s">
        <v>507</v>
      </c>
      <c r="B188" s="678">
        <f>SUMIF(M:M,A188,O:O)</f>
        <v>1651446</v>
      </c>
      <c r="H188" s="428"/>
      <c r="I188" s="428"/>
      <c r="J188" s="660"/>
      <c r="K188" s="428"/>
    </row>
    <row r="189" spans="1:45" x14ac:dyDescent="0.2">
      <c r="A189" s="332" t="s">
        <v>504</v>
      </c>
      <c r="B189" s="678">
        <f>SUMIF(M:M,A189,O:O)</f>
        <v>4055026</v>
      </c>
      <c r="H189" s="428"/>
      <c r="I189" s="428"/>
      <c r="J189" s="660"/>
      <c r="K189" s="428"/>
    </row>
    <row r="190" spans="1:45" x14ac:dyDescent="0.2">
      <c r="A190" s="332" t="s">
        <v>579</v>
      </c>
      <c r="B190" s="678">
        <f>SUMIF(M:M,A190,O:O)</f>
        <v>1273571</v>
      </c>
      <c r="H190" s="428"/>
      <c r="I190" s="428"/>
      <c r="J190" s="660"/>
      <c r="K190" s="428"/>
    </row>
    <row r="191" spans="1:45" x14ac:dyDescent="0.2">
      <c r="A191" s="332" t="s">
        <v>563</v>
      </c>
      <c r="B191" s="678">
        <f>SUMIF(M:M,A191,O:O)</f>
        <v>3056670</v>
      </c>
      <c r="H191" s="428"/>
      <c r="I191" s="428"/>
      <c r="J191" s="660"/>
      <c r="K191" s="428"/>
    </row>
    <row r="192" spans="1:45" x14ac:dyDescent="0.2">
      <c r="A192" s="332">
        <v>0</v>
      </c>
      <c r="B192" s="580">
        <f>SUM(B188:B191)</f>
        <v>10036713</v>
      </c>
      <c r="H192" s="428"/>
      <c r="I192" s="428"/>
      <c r="J192" s="660"/>
      <c r="K192" s="428"/>
    </row>
    <row r="193" spans="1:11" x14ac:dyDescent="0.2">
      <c r="A193" s="586" t="s">
        <v>867</v>
      </c>
      <c r="B193" s="646"/>
      <c r="C193" s="646">
        <v>12345</v>
      </c>
      <c r="H193" s="428"/>
      <c r="I193" s="428"/>
      <c r="J193" s="660"/>
      <c r="K193" s="428"/>
    </row>
    <row r="194" spans="1:11" x14ac:dyDescent="0.2">
      <c r="A194" s="18" t="s">
        <v>44</v>
      </c>
      <c r="B194" s="216"/>
      <c r="C194" s="646">
        <v>2400</v>
      </c>
      <c r="D194" s="586"/>
      <c r="E194" s="586"/>
      <c r="G194" s="377"/>
      <c r="H194" s="198"/>
      <c r="I194" s="198"/>
      <c r="J194" s="198"/>
      <c r="K194" s="428"/>
    </row>
    <row r="195" spans="1:11" x14ac:dyDescent="0.2">
      <c r="A195" s="18" t="s">
        <v>125</v>
      </c>
      <c r="B195" s="586"/>
      <c r="C195" s="646">
        <v>5414</v>
      </c>
      <c r="D195" s="586"/>
      <c r="E195" s="586"/>
      <c r="G195" s="377"/>
      <c r="H195" s="331"/>
      <c r="I195" s="331"/>
      <c r="J195" s="331"/>
      <c r="K195" s="428"/>
    </row>
    <row r="196" spans="1:11" x14ac:dyDescent="0.2">
      <c r="A196" s="18" t="s">
        <v>155</v>
      </c>
      <c r="B196" s="216"/>
      <c r="C196" s="646">
        <v>2442</v>
      </c>
      <c r="D196" s="586"/>
      <c r="E196" s="586"/>
      <c r="G196" s="377"/>
      <c r="H196" s="479"/>
      <c r="I196" s="480"/>
      <c r="J196" s="481"/>
      <c r="K196" s="428"/>
    </row>
    <row r="197" spans="1:11" x14ac:dyDescent="0.2">
      <c r="A197" s="18" t="s">
        <v>48</v>
      </c>
      <c r="B197" s="216"/>
      <c r="C197" s="646">
        <v>2509</v>
      </c>
      <c r="D197" s="586"/>
      <c r="E197" s="586"/>
      <c r="G197" s="377"/>
      <c r="H197" s="331"/>
      <c r="I197" s="331"/>
      <c r="J197" s="331"/>
      <c r="K197" s="428"/>
    </row>
    <row r="198" spans="1:11" x14ac:dyDescent="0.2">
      <c r="A198" s="18" t="s">
        <v>49</v>
      </c>
      <c r="B198" s="216"/>
      <c r="C198" s="646">
        <v>2005</v>
      </c>
      <c r="D198" s="586"/>
      <c r="E198" s="586"/>
      <c r="G198" s="377"/>
      <c r="H198" s="331"/>
      <c r="I198" s="331"/>
      <c r="J198" s="331"/>
      <c r="K198" s="428"/>
    </row>
    <row r="199" spans="1:11" x14ac:dyDescent="0.2">
      <c r="A199" s="18" t="s">
        <v>57</v>
      </c>
      <c r="B199" s="216"/>
      <c r="C199" s="646">
        <v>2432</v>
      </c>
      <c r="D199" s="586"/>
      <c r="E199" s="586"/>
      <c r="G199" s="377"/>
      <c r="H199" s="331"/>
      <c r="I199" s="331"/>
      <c r="J199" s="331"/>
      <c r="K199" s="428"/>
    </row>
    <row r="200" spans="1:11" x14ac:dyDescent="0.2">
      <c r="A200" s="18" t="s">
        <v>127</v>
      </c>
      <c r="B200" s="586"/>
      <c r="C200" s="646">
        <v>5402</v>
      </c>
      <c r="D200" s="586"/>
      <c r="E200" s="586"/>
      <c r="G200" s="377"/>
      <c r="H200" s="331"/>
      <c r="I200" s="331"/>
      <c r="J200" s="331"/>
      <c r="K200" s="428"/>
    </row>
    <row r="201" spans="1:11" x14ac:dyDescent="0.2">
      <c r="A201" s="18" t="s">
        <v>65</v>
      </c>
      <c r="B201" s="216"/>
      <c r="C201" s="646">
        <v>2455</v>
      </c>
      <c r="D201" s="586"/>
      <c r="E201" s="586"/>
      <c r="G201" s="377"/>
      <c r="H201" s="331"/>
      <c r="I201" s="331"/>
      <c r="J201" s="331"/>
      <c r="K201" s="428"/>
    </row>
    <row r="202" spans="1:11" x14ac:dyDescent="0.2">
      <c r="A202" s="18" t="s">
        <v>66</v>
      </c>
      <c r="B202" s="216"/>
      <c r="C202" s="646">
        <v>5203</v>
      </c>
      <c r="D202" s="586"/>
      <c r="E202" s="586"/>
      <c r="G202" s="377"/>
      <c r="H202" s="198"/>
      <c r="I202" s="198"/>
      <c r="J202" s="198"/>
      <c r="K202" s="428"/>
    </row>
    <row r="203" spans="1:11" x14ac:dyDescent="0.2">
      <c r="A203" s="18" t="s">
        <v>791</v>
      </c>
      <c r="B203" s="586"/>
      <c r="C203" s="646">
        <v>4002</v>
      </c>
      <c r="D203" s="586"/>
      <c r="E203" s="586"/>
      <c r="G203" s="377"/>
      <c r="H203" s="656"/>
      <c r="I203" s="331"/>
      <c r="J203" s="656"/>
      <c r="K203" s="428"/>
    </row>
    <row r="204" spans="1:11" ht="12.75" customHeight="1" x14ac:dyDescent="0.25">
      <c r="A204" s="18" t="s">
        <v>116</v>
      </c>
      <c r="B204" s="586"/>
      <c r="C204" s="646">
        <v>4608</v>
      </c>
      <c r="D204" s="586"/>
      <c r="E204" s="586"/>
      <c r="G204" s="377"/>
      <c r="H204" s="665"/>
      <c r="I204" s="198"/>
      <c r="J204" s="661"/>
      <c r="K204" s="428"/>
    </row>
    <row r="205" spans="1:11" x14ac:dyDescent="0.2">
      <c r="A205" s="18" t="s">
        <v>68</v>
      </c>
      <c r="B205" s="216"/>
      <c r="C205" s="646">
        <v>2409</v>
      </c>
      <c r="D205" s="586"/>
      <c r="E205" s="586"/>
      <c r="G205" s="377"/>
      <c r="H205" s="491"/>
      <c r="I205" s="654"/>
      <c r="J205" s="654"/>
      <c r="K205" s="428"/>
    </row>
    <row r="206" spans="1:11" x14ac:dyDescent="0.2">
      <c r="A206" s="18" t="s">
        <v>172</v>
      </c>
      <c r="B206" s="586"/>
      <c r="C206" s="646">
        <v>4178</v>
      </c>
      <c r="D206" s="586"/>
      <c r="E206" s="586"/>
      <c r="G206" s="377"/>
      <c r="H206" s="665"/>
      <c r="I206" s="198"/>
      <c r="J206" s="662"/>
      <c r="K206" s="428"/>
    </row>
    <row r="207" spans="1:11" x14ac:dyDescent="0.2">
      <c r="A207" s="18" t="s">
        <v>71</v>
      </c>
      <c r="B207" s="216"/>
      <c r="C207" s="646">
        <v>2457</v>
      </c>
      <c r="D207" s="586"/>
      <c r="E207" s="586"/>
      <c r="G207" s="377"/>
      <c r="H207" s="331"/>
      <c r="I207" s="331"/>
      <c r="J207" s="331"/>
      <c r="K207" s="428"/>
    </row>
    <row r="208" spans="1:11" x14ac:dyDescent="0.2">
      <c r="A208" s="18" t="s">
        <v>81</v>
      </c>
      <c r="B208" s="216"/>
      <c r="C208" s="646">
        <v>2009</v>
      </c>
      <c r="D208" s="586"/>
      <c r="E208" s="586"/>
      <c r="G208" s="377"/>
      <c r="H208" s="666"/>
      <c r="I208" s="653"/>
      <c r="J208" s="653"/>
      <c r="K208" s="428"/>
    </row>
    <row r="209" spans="1:11" x14ac:dyDescent="0.2">
      <c r="A209" s="18" t="s">
        <v>77</v>
      </c>
      <c r="B209" s="216"/>
      <c r="C209" s="646">
        <v>2522</v>
      </c>
      <c r="D209" s="586"/>
      <c r="E209" s="586"/>
      <c r="G209" s="377"/>
      <c r="H209" s="331"/>
      <c r="I209" s="331"/>
      <c r="J209" s="331"/>
      <c r="K209" s="428"/>
    </row>
    <row r="210" spans="1:11" x14ac:dyDescent="0.2">
      <c r="A210" s="18" t="s">
        <v>118</v>
      </c>
      <c r="B210" s="586"/>
      <c r="C210" s="646">
        <v>4181</v>
      </c>
      <c r="D210" s="586"/>
      <c r="E210" s="586"/>
      <c r="G210" s="377"/>
      <c r="H210" s="198"/>
      <c r="I210" s="198"/>
      <c r="J210" s="198"/>
      <c r="K210" s="428"/>
    </row>
    <row r="211" spans="1:11" x14ac:dyDescent="0.2">
      <c r="A211" s="18" t="s">
        <v>119</v>
      </c>
      <c r="B211" s="586"/>
      <c r="C211" s="646">
        <v>4182</v>
      </c>
      <c r="D211" s="586"/>
      <c r="E211" s="586"/>
      <c r="G211" s="377"/>
      <c r="H211" s="331"/>
      <c r="I211" s="331"/>
      <c r="J211" s="331"/>
      <c r="K211" s="428"/>
    </row>
    <row r="212" spans="1:11" x14ac:dyDescent="0.2">
      <c r="A212" s="18" t="s">
        <v>78</v>
      </c>
      <c r="B212" s="216"/>
      <c r="C212" s="646">
        <v>2436</v>
      </c>
      <c r="D212" s="586"/>
      <c r="E212" s="586"/>
      <c r="G212" s="377"/>
      <c r="H212" s="331"/>
      <c r="I212" s="331"/>
      <c r="J212" s="331"/>
      <c r="K212" s="428"/>
    </row>
    <row r="213" spans="1:11" x14ac:dyDescent="0.2">
      <c r="A213" s="18" t="s">
        <v>120</v>
      </c>
      <c r="B213" s="586"/>
      <c r="C213" s="646">
        <v>4001</v>
      </c>
      <c r="D213" s="586"/>
      <c r="E213" s="586"/>
      <c r="G213" s="377"/>
      <c r="H213" s="198"/>
      <c r="I213" s="198"/>
      <c r="J213" s="198"/>
      <c r="K213" s="428"/>
    </row>
    <row r="214" spans="1:11" x14ac:dyDescent="0.2">
      <c r="A214" s="18" t="s">
        <v>80</v>
      </c>
      <c r="B214" s="216"/>
      <c r="C214" s="646">
        <v>2627</v>
      </c>
      <c r="D214" s="586"/>
      <c r="E214" s="586"/>
      <c r="G214" s="377"/>
      <c r="H214" s="331"/>
      <c r="I214" s="331"/>
      <c r="J214" s="331"/>
      <c r="K214" s="428"/>
    </row>
    <row r="215" spans="1:11" x14ac:dyDescent="0.2">
      <c r="A215" s="18" t="s">
        <v>173</v>
      </c>
      <c r="B215" s="586"/>
      <c r="C215" s="646">
        <v>5406</v>
      </c>
      <c r="D215" s="586"/>
      <c r="E215" s="586"/>
      <c r="G215" s="377"/>
      <c r="H215" s="331"/>
      <c r="I215" s="331"/>
      <c r="J215" s="331"/>
      <c r="K215" s="428"/>
    </row>
    <row r="216" spans="1:11" x14ac:dyDescent="0.2">
      <c r="A216" s="18" t="s">
        <v>174</v>
      </c>
      <c r="B216" s="586"/>
      <c r="C216" s="646">
        <v>5407</v>
      </c>
      <c r="D216" s="586"/>
      <c r="E216" s="586"/>
      <c r="G216" s="377"/>
      <c r="H216" s="198"/>
      <c r="I216" s="198"/>
      <c r="J216" s="198"/>
      <c r="K216" s="428"/>
    </row>
    <row r="217" spans="1:11" x14ac:dyDescent="0.2">
      <c r="A217" s="18" t="s">
        <v>84</v>
      </c>
      <c r="B217" s="216"/>
      <c r="C217" s="646">
        <v>2471</v>
      </c>
      <c r="D217" s="586"/>
      <c r="E217" s="586"/>
      <c r="G217" s="377"/>
      <c r="H217" s="198"/>
      <c r="I217" s="198"/>
      <c r="J217" s="198"/>
      <c r="K217" s="428"/>
    </row>
    <row r="218" spans="1:11" x14ac:dyDescent="0.2">
      <c r="A218" s="18" t="s">
        <v>86</v>
      </c>
      <c r="B218" s="216"/>
      <c r="C218" s="646">
        <v>2423</v>
      </c>
      <c r="D218" s="586"/>
      <c r="E218" s="586"/>
      <c r="G218" s="377"/>
      <c r="H218" s="198"/>
      <c r="I218" s="198"/>
      <c r="J218" s="198"/>
      <c r="K218" s="428"/>
    </row>
    <row r="219" spans="1:11" x14ac:dyDescent="0.2">
      <c r="A219" s="18" t="s">
        <v>87</v>
      </c>
      <c r="B219" s="216"/>
      <c r="C219" s="646">
        <v>2424</v>
      </c>
      <c r="D219" s="586"/>
      <c r="E219" s="586"/>
      <c r="G219" s="377"/>
      <c r="H219" s="331"/>
      <c r="I219" s="331"/>
      <c r="J219" s="331"/>
      <c r="K219" s="428"/>
    </row>
    <row r="220" spans="1:11" x14ac:dyDescent="0.2">
      <c r="A220" s="18" t="s">
        <v>88</v>
      </c>
      <c r="B220" s="216"/>
      <c r="C220" s="646">
        <v>2439</v>
      </c>
      <c r="D220" s="586"/>
      <c r="E220" s="586"/>
      <c r="G220" s="377"/>
      <c r="H220" s="331"/>
      <c r="I220" s="331"/>
      <c r="J220" s="331"/>
      <c r="K220" s="428"/>
    </row>
    <row r="221" spans="1:11" x14ac:dyDescent="0.2">
      <c r="A221" s="18" t="s">
        <v>89</v>
      </c>
      <c r="B221" s="216"/>
      <c r="C221" s="646">
        <v>2440</v>
      </c>
      <c r="D221" s="586"/>
      <c r="E221" s="586"/>
      <c r="G221" s="377"/>
      <c r="H221" s="331"/>
      <c r="I221" s="331"/>
      <c r="J221" s="331"/>
      <c r="K221" s="428"/>
    </row>
    <row r="222" spans="1:11" x14ac:dyDescent="0.2">
      <c r="A222" s="18" t="s">
        <v>91</v>
      </c>
      <c r="B222" s="216"/>
      <c r="C222" s="646">
        <v>2463</v>
      </c>
      <c r="D222" s="586"/>
      <c r="E222" s="586"/>
      <c r="G222" s="377"/>
      <c r="H222" s="331"/>
      <c r="I222" s="331"/>
      <c r="J222" s="331"/>
      <c r="K222" s="428"/>
    </row>
    <row r="223" spans="1:11" x14ac:dyDescent="0.2">
      <c r="A223" s="18" t="s">
        <v>94</v>
      </c>
      <c r="B223" s="216"/>
      <c r="C223" s="646">
        <v>2458</v>
      </c>
      <c r="D223" s="586"/>
      <c r="E223" s="586"/>
      <c r="G223" s="377"/>
      <c r="H223" s="331"/>
      <c r="I223" s="331"/>
      <c r="J223" s="331"/>
      <c r="K223" s="428"/>
    </row>
    <row r="224" spans="1:11" x14ac:dyDescent="0.2">
      <c r="A224" s="18" t="s">
        <v>123</v>
      </c>
      <c r="B224" s="586"/>
      <c r="C224" s="646">
        <v>4607</v>
      </c>
      <c r="D224" s="586"/>
      <c r="E224" s="586"/>
      <c r="G224" s="377"/>
      <c r="H224" s="331"/>
      <c r="I224" s="331"/>
      <c r="J224" s="331"/>
      <c r="K224" s="428"/>
    </row>
    <row r="225" spans="1:11" x14ac:dyDescent="0.2">
      <c r="A225" s="18" t="s">
        <v>98</v>
      </c>
      <c r="B225" s="216"/>
      <c r="C225" s="646">
        <v>5209</v>
      </c>
      <c r="D225" s="586"/>
      <c r="E225" s="586"/>
      <c r="G225" s="377"/>
      <c r="H225" s="652"/>
      <c r="I225" s="198"/>
      <c r="J225" s="256"/>
      <c r="K225" s="428"/>
    </row>
    <row r="226" spans="1:11" x14ac:dyDescent="0.2">
      <c r="A226" s="18" t="s">
        <v>99</v>
      </c>
      <c r="B226" s="216"/>
      <c r="C226" s="646">
        <v>2469</v>
      </c>
      <c r="D226" s="586"/>
      <c r="E226" s="586"/>
      <c r="G226" s="377"/>
      <c r="H226" s="198"/>
      <c r="I226" s="198"/>
      <c r="J226" s="198"/>
      <c r="K226" s="428"/>
    </row>
    <row r="227" spans="1:11" x14ac:dyDescent="0.2">
      <c r="A227" s="18" t="s">
        <v>101</v>
      </c>
      <c r="B227" s="216"/>
      <c r="C227" s="646">
        <v>2466</v>
      </c>
      <c r="D227" s="586"/>
      <c r="E227" s="586"/>
      <c r="G227" s="377"/>
      <c r="H227" s="331"/>
      <c r="I227" s="331"/>
      <c r="J227" s="331"/>
      <c r="K227" s="428"/>
    </row>
    <row r="228" spans="1:11" x14ac:dyDescent="0.2">
      <c r="A228" s="18" t="s">
        <v>104</v>
      </c>
      <c r="B228" s="216"/>
      <c r="C228" s="646">
        <v>3531</v>
      </c>
      <c r="D228" s="586"/>
      <c r="E228" s="586"/>
      <c r="G228" s="377"/>
      <c r="H228" s="659"/>
      <c r="I228" s="657"/>
      <c r="J228" s="657"/>
      <c r="K228" s="428"/>
    </row>
    <row r="229" spans="1:11" x14ac:dyDescent="0.2">
      <c r="A229" s="18" t="s">
        <v>165</v>
      </c>
      <c r="B229" s="216"/>
      <c r="C229" s="646">
        <v>3535</v>
      </c>
      <c r="D229" s="586"/>
      <c r="E229" s="586"/>
      <c r="G229" s="377"/>
      <c r="H229" s="659"/>
      <c r="I229" s="657"/>
      <c r="J229" s="657"/>
      <c r="K229" s="428"/>
    </row>
    <row r="230" spans="1:11" x14ac:dyDescent="0.2">
      <c r="A230" s="21" t="s">
        <v>107</v>
      </c>
      <c r="B230" s="216"/>
      <c r="C230" s="646">
        <v>2008</v>
      </c>
      <c r="D230" s="586"/>
      <c r="E230" s="586"/>
      <c r="G230" s="377"/>
      <c r="H230" s="664"/>
      <c r="I230" s="608"/>
      <c r="J230" s="655"/>
      <c r="K230" s="428"/>
    </row>
    <row r="231" spans="1:11" x14ac:dyDescent="0.2">
      <c r="A231" s="18" t="s">
        <v>166</v>
      </c>
      <c r="B231" s="216"/>
      <c r="C231" s="646">
        <v>3542</v>
      </c>
      <c r="D231" s="586"/>
      <c r="E231" s="586"/>
      <c r="G231" s="377"/>
      <c r="H231" s="607"/>
      <c r="I231" s="608"/>
      <c r="J231" s="608"/>
      <c r="K231" s="428"/>
    </row>
    <row r="232" spans="1:11" x14ac:dyDescent="0.2">
      <c r="A232" s="663" t="s">
        <v>168</v>
      </c>
      <c r="B232" s="216"/>
      <c r="C232" s="646">
        <v>3534</v>
      </c>
      <c r="D232" s="586"/>
      <c r="E232" s="586"/>
      <c r="G232" s="377"/>
      <c r="H232" s="609"/>
      <c r="I232" s="610"/>
      <c r="J232" s="610"/>
      <c r="K232" s="428"/>
    </row>
    <row r="233" spans="1:11" x14ac:dyDescent="0.2">
      <c r="A233" s="18" t="s">
        <v>169</v>
      </c>
      <c r="B233" s="216"/>
      <c r="C233" s="646">
        <v>3532</v>
      </c>
      <c r="D233" s="586"/>
      <c r="E233" s="586"/>
      <c r="G233" s="377"/>
      <c r="H233" s="609"/>
      <c r="I233" s="610"/>
      <c r="J233" s="610"/>
      <c r="K233" s="428"/>
    </row>
    <row r="234" spans="1:11" x14ac:dyDescent="0.2">
      <c r="A234" s="18" t="s">
        <v>126</v>
      </c>
      <c r="B234" s="586"/>
      <c r="C234" s="646">
        <v>5412</v>
      </c>
      <c r="D234" s="586"/>
      <c r="E234" s="586"/>
      <c r="G234" s="377"/>
      <c r="H234" s="609"/>
      <c r="I234" s="658"/>
      <c r="J234" s="658"/>
      <c r="K234" s="428"/>
    </row>
    <row r="235" spans="1:11" x14ac:dyDescent="0.2">
      <c r="A235" s="663" t="s">
        <v>114</v>
      </c>
      <c r="B235" s="216"/>
      <c r="C235" s="646">
        <v>2459</v>
      </c>
      <c r="D235" s="586"/>
      <c r="E235" s="586"/>
      <c r="G235" s="377"/>
      <c r="H235" s="609"/>
      <c r="I235" s="658"/>
      <c r="J235" s="658"/>
      <c r="K235" s="428"/>
    </row>
    <row r="236" spans="1:11" x14ac:dyDescent="0.2">
      <c r="A236" s="18" t="s">
        <v>63</v>
      </c>
      <c r="B236" s="604"/>
      <c r="C236" s="604">
        <v>2448</v>
      </c>
      <c r="G236" s="377"/>
    </row>
    <row r="237" spans="1:11" x14ac:dyDescent="0.2">
      <c r="A237" s="583" t="s">
        <v>1033</v>
      </c>
      <c r="B237" s="837"/>
      <c r="C237" s="837">
        <v>4000</v>
      </c>
      <c r="G237" s="377"/>
    </row>
    <row r="238" spans="1:11" x14ac:dyDescent="0.2">
      <c r="G238" s="377"/>
    </row>
    <row r="239" spans="1:11" x14ac:dyDescent="0.2">
      <c r="G239" s="377"/>
    </row>
    <row r="240" spans="1:11" x14ac:dyDescent="0.2">
      <c r="G240" s="377"/>
    </row>
    <row r="241" spans="7:7" x14ac:dyDescent="0.2">
      <c r="G241" s="377"/>
    </row>
    <row r="242" spans="7:7" x14ac:dyDescent="0.2">
      <c r="G242" s="377"/>
    </row>
    <row r="243" spans="7:7" x14ac:dyDescent="0.2">
      <c r="G243" s="377"/>
    </row>
    <row r="244" spans="7:7" x14ac:dyDescent="0.2">
      <c r="G244" s="377"/>
    </row>
    <row r="245" spans="7:7" x14ac:dyDescent="0.2">
      <c r="G245" s="377"/>
    </row>
    <row r="246" spans="7:7" x14ac:dyDescent="0.2">
      <c r="G246" s="377"/>
    </row>
    <row r="247" spans="7:7" x14ac:dyDescent="0.2">
      <c r="G247" s="377"/>
    </row>
    <row r="248" spans="7:7" x14ac:dyDescent="0.2">
      <c r="G248" s="377"/>
    </row>
    <row r="249" spans="7:7" x14ac:dyDescent="0.2">
      <c r="G249" s="377"/>
    </row>
    <row r="250" spans="7:7" x14ac:dyDescent="0.2">
      <c r="G250" s="377"/>
    </row>
    <row r="251" spans="7:7" x14ac:dyDescent="0.2">
      <c r="G251" s="377"/>
    </row>
    <row r="252" spans="7:7" x14ac:dyDescent="0.2">
      <c r="G252" s="377"/>
    </row>
    <row r="253" spans="7:7" x14ac:dyDescent="0.2">
      <c r="G253" s="377"/>
    </row>
    <row r="254" spans="7:7" x14ac:dyDescent="0.2">
      <c r="G254" s="377"/>
    </row>
    <row r="255" spans="7:7" x14ac:dyDescent="0.2">
      <c r="G255" s="377"/>
    </row>
    <row r="256" spans="7:7" x14ac:dyDescent="0.2">
      <c r="G256" s="377"/>
    </row>
    <row r="257" spans="1:7" x14ac:dyDescent="0.2">
      <c r="A257" s="491"/>
      <c r="B257" s="654"/>
      <c r="C257" s="654"/>
      <c r="G257" s="377"/>
    </row>
    <row r="258" spans="1:7" x14ac:dyDescent="0.2">
      <c r="A258" s="665"/>
      <c r="B258" s="198"/>
      <c r="C258" s="662"/>
      <c r="G258" s="377"/>
    </row>
    <row r="259" spans="1:7" ht="15" x14ac:dyDescent="0.25">
      <c r="A259" s="665"/>
      <c r="B259" s="198"/>
      <c r="C259" s="661"/>
      <c r="G259" s="377"/>
    </row>
    <row r="260" spans="1:7" x14ac:dyDescent="0.2">
      <c r="A260" s="659"/>
      <c r="B260" s="657"/>
      <c r="C260" s="657"/>
      <c r="G260" s="377"/>
    </row>
    <row r="261" spans="1:7" x14ac:dyDescent="0.2">
      <c r="A261" s="659"/>
      <c r="B261" s="657"/>
      <c r="C261" s="657"/>
      <c r="G261" s="377"/>
    </row>
    <row r="262" spans="1:7" x14ac:dyDescent="0.2">
      <c r="A262" s="331"/>
      <c r="B262" s="331"/>
      <c r="C262" s="331"/>
      <c r="G262" s="377"/>
    </row>
    <row r="263" spans="1:7" x14ac:dyDescent="0.2">
      <c r="A263" s="331"/>
      <c r="B263" s="331"/>
      <c r="C263" s="331"/>
      <c r="G263" s="377"/>
    </row>
    <row r="264" spans="1:7" x14ac:dyDescent="0.2">
      <c r="A264" s="331"/>
      <c r="B264" s="331"/>
      <c r="C264" s="331"/>
      <c r="G264" s="377"/>
    </row>
    <row r="265" spans="1:7" x14ac:dyDescent="0.2">
      <c r="A265" s="331"/>
      <c r="B265" s="331"/>
      <c r="C265" s="331"/>
      <c r="G265" s="377"/>
    </row>
    <row r="266" spans="1:7" x14ac:dyDescent="0.2">
      <c r="A266" s="331"/>
      <c r="B266" s="331"/>
      <c r="C266" s="331"/>
      <c r="G266" s="377"/>
    </row>
    <row r="267" spans="1:7" x14ac:dyDescent="0.2">
      <c r="A267" s="331"/>
      <c r="B267" s="331"/>
      <c r="C267" s="331"/>
      <c r="G267" s="377"/>
    </row>
    <row r="268" spans="1:7" x14ac:dyDescent="0.2">
      <c r="A268" s="612"/>
      <c r="B268" s="658"/>
      <c r="C268" s="658"/>
      <c r="G268" s="377"/>
    </row>
    <row r="269" spans="1:7" x14ac:dyDescent="0.2">
      <c r="A269" s="664"/>
      <c r="B269" s="608"/>
      <c r="C269" s="662"/>
      <c r="G269" s="377"/>
    </row>
    <row r="270" spans="1:7" x14ac:dyDescent="0.2">
      <c r="A270" s="607"/>
      <c r="B270" s="807"/>
      <c r="C270" s="807"/>
      <c r="G270" s="377"/>
    </row>
    <row r="271" spans="1:7" x14ac:dyDescent="0.2">
      <c r="A271" s="808"/>
      <c r="B271" s="608"/>
      <c r="C271" s="662"/>
      <c r="G271" s="377"/>
    </row>
    <row r="272" spans="1:7" x14ac:dyDescent="0.2">
      <c r="A272" s="612"/>
      <c r="B272" s="608"/>
      <c r="C272" s="608"/>
      <c r="G272" s="377"/>
    </row>
    <row r="273" spans="1:7" x14ac:dyDescent="0.2">
      <c r="A273" s="607"/>
      <c r="B273" s="608"/>
      <c r="C273" s="608"/>
      <c r="G273" s="377"/>
    </row>
    <row r="274" spans="1:7" x14ac:dyDescent="0.2">
      <c r="A274" s="808"/>
      <c r="B274" s="608"/>
      <c r="C274" s="802"/>
      <c r="G274" s="377"/>
    </row>
    <row r="275" spans="1:7" x14ac:dyDescent="0.2">
      <c r="A275" s="612"/>
      <c r="B275" s="608"/>
      <c r="C275" s="608"/>
      <c r="G275" s="377"/>
    </row>
    <row r="276" spans="1:7" x14ac:dyDescent="0.2">
      <c r="A276" s="611"/>
      <c r="B276" s="809"/>
      <c r="C276" s="809"/>
      <c r="G276" s="377"/>
    </row>
    <row r="277" spans="1:7" x14ac:dyDescent="0.2">
      <c r="A277" s="804"/>
      <c r="B277" s="804"/>
      <c r="C277" s="722"/>
      <c r="G277" s="377"/>
    </row>
    <row r="278" spans="1:7" x14ac:dyDescent="0.2">
      <c r="A278" s="659"/>
      <c r="B278" s="657"/>
      <c r="C278" s="657"/>
      <c r="G278" s="377"/>
    </row>
    <row r="279" spans="1:7" x14ac:dyDescent="0.2">
      <c r="G279" s="377"/>
    </row>
    <row r="280" spans="1:7" x14ac:dyDescent="0.2">
      <c r="G280" s="377"/>
    </row>
    <row r="281" spans="1:7" x14ac:dyDescent="0.2">
      <c r="G281" s="377"/>
    </row>
    <row r="282" spans="1:7" x14ac:dyDescent="0.2">
      <c r="G282" s="377"/>
    </row>
    <row r="283" spans="1:7" x14ac:dyDescent="0.2">
      <c r="G283" s="377"/>
    </row>
    <row r="284" spans="1:7" x14ac:dyDescent="0.2">
      <c r="G284" s="377"/>
    </row>
    <row r="285" spans="1:7" x14ac:dyDescent="0.2">
      <c r="G285" s="377"/>
    </row>
    <row r="286" spans="1:7" x14ac:dyDescent="0.2">
      <c r="G286" s="377"/>
    </row>
    <row r="287" spans="1:7" x14ac:dyDescent="0.2">
      <c r="G287" s="377"/>
    </row>
    <row r="288" spans="1:7" x14ac:dyDescent="0.2">
      <c r="G288" s="377"/>
    </row>
    <row r="289" spans="7:7" x14ac:dyDescent="0.2">
      <c r="G289" s="377"/>
    </row>
    <row r="290" spans="7:7" x14ac:dyDescent="0.2">
      <c r="G290" s="377"/>
    </row>
    <row r="291" spans="7:7" x14ac:dyDescent="0.2">
      <c r="G291" s="377"/>
    </row>
    <row r="292" spans="7:7" x14ac:dyDescent="0.2">
      <c r="G292" s="377"/>
    </row>
    <row r="293" spans="7:7" x14ac:dyDescent="0.2">
      <c r="G293" s="377"/>
    </row>
    <row r="294" spans="7:7" x14ac:dyDescent="0.2">
      <c r="G294" s="377"/>
    </row>
    <row r="295" spans="7:7" x14ac:dyDescent="0.2">
      <c r="G295" s="377"/>
    </row>
    <row r="296" spans="7:7" x14ac:dyDescent="0.2">
      <c r="G296" s="377"/>
    </row>
    <row r="297" spans="7:7" x14ac:dyDescent="0.2">
      <c r="G297" s="377"/>
    </row>
    <row r="298" spans="7:7" x14ac:dyDescent="0.2">
      <c r="G298" s="377"/>
    </row>
    <row r="299" spans="7:7" x14ac:dyDescent="0.2">
      <c r="G299" s="377"/>
    </row>
    <row r="300" spans="7:7" x14ac:dyDescent="0.2">
      <c r="G300" s="377"/>
    </row>
    <row r="301" spans="7:7" x14ac:dyDescent="0.2">
      <c r="G301" s="377"/>
    </row>
    <row r="302" spans="7:7" x14ac:dyDescent="0.2">
      <c r="G302" s="377"/>
    </row>
    <row r="303" spans="7:7" x14ac:dyDescent="0.2">
      <c r="G303" s="377"/>
    </row>
    <row r="304" spans="7:7" x14ac:dyDescent="0.2">
      <c r="G304" s="377"/>
    </row>
    <row r="305" spans="7:7" x14ac:dyDescent="0.2">
      <c r="G305" s="377"/>
    </row>
    <row r="306" spans="7:7" x14ac:dyDescent="0.2">
      <c r="G306" s="377"/>
    </row>
    <row r="307" spans="7:7" x14ac:dyDescent="0.2">
      <c r="G307" s="377"/>
    </row>
    <row r="308" spans="7:7" x14ac:dyDescent="0.2">
      <c r="G308" s="377"/>
    </row>
    <row r="309" spans="7:7" x14ac:dyDescent="0.2">
      <c r="G309" s="377"/>
    </row>
    <row r="310" spans="7:7" x14ac:dyDescent="0.2">
      <c r="G310" s="377"/>
    </row>
    <row r="311" spans="7:7" x14ac:dyDescent="0.2">
      <c r="G311" s="377"/>
    </row>
    <row r="312" spans="7:7" x14ac:dyDescent="0.2">
      <c r="G312" s="377"/>
    </row>
    <row r="313" spans="7:7" x14ac:dyDescent="0.2">
      <c r="G313" s="377"/>
    </row>
    <row r="314" spans="7:7" x14ac:dyDescent="0.2">
      <c r="G314" s="377"/>
    </row>
    <row r="315" spans="7:7" x14ac:dyDescent="0.2">
      <c r="G315" s="377"/>
    </row>
    <row r="316" spans="7:7" x14ac:dyDescent="0.2">
      <c r="G316" s="377"/>
    </row>
    <row r="317" spans="7:7" x14ac:dyDescent="0.2">
      <c r="G317" s="377"/>
    </row>
    <row r="318" spans="7:7" x14ac:dyDescent="0.2">
      <c r="G318" s="377"/>
    </row>
    <row r="319" spans="7:7" x14ac:dyDescent="0.2">
      <c r="G319" s="377"/>
    </row>
    <row r="320" spans="7:7" x14ac:dyDescent="0.2">
      <c r="G320" s="377"/>
    </row>
    <row r="321" spans="7:7" x14ac:dyDescent="0.2">
      <c r="G321" s="377"/>
    </row>
    <row r="322" spans="7:7" x14ac:dyDescent="0.2">
      <c r="G322" s="377"/>
    </row>
    <row r="323" spans="7:7" x14ac:dyDescent="0.2">
      <c r="G323" s="377"/>
    </row>
    <row r="324" spans="7:7" x14ac:dyDescent="0.2">
      <c r="G324" s="377"/>
    </row>
    <row r="325" spans="7:7" x14ac:dyDescent="0.2">
      <c r="G325" s="377"/>
    </row>
    <row r="326" spans="7:7" x14ac:dyDescent="0.2">
      <c r="G326" s="377"/>
    </row>
    <row r="327" spans="7:7" x14ac:dyDescent="0.2">
      <c r="G327" s="377"/>
    </row>
  </sheetData>
  <sheetProtection password="EF5C" sheet="1" objects="1" scenarios="1" selectLockedCells="1" selectUnlockedCells="1"/>
  <autoFilter ref="A1:AQ58"/>
  <sortState ref="A194:E371">
    <sortCondition ref="A194:A371"/>
  </sortState>
  <pageMargins left="0.23622047244094491" right="0.23622047244094491" top="0.35433070866141736" bottom="0.35433070866141736" header="0.31496062992125984" footer="0.31496062992125984"/>
  <pageSetup paperSize="9" scale="55" orientation="landscape" r:id="rId1"/>
  <headerFooter alignWithMargins="0">
    <oddHeader>&amp;A</oddHeader>
    <oddFooter>&amp;Z&amp;F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1"/>
  <sheetViews>
    <sheetView zoomScale="80" zoomScaleNormal="80" workbookViewId="0">
      <pane xSplit="2" ySplit="6" topLeftCell="C7" activePane="bottomRight" state="frozen"/>
      <selection activeCell="A21" sqref="A21"/>
      <selection pane="topRight" activeCell="A21" sqref="A21"/>
      <selection pane="bottomLeft" activeCell="A21" sqref="A21"/>
      <selection pane="bottomRight" sqref="A1:XFD1048576"/>
    </sheetView>
  </sheetViews>
  <sheetFormatPr defaultRowHeight="12.75" x14ac:dyDescent="0.2"/>
  <cols>
    <col min="1" max="1" width="52.42578125" bestFit="1" customWidth="1"/>
    <col min="2" max="2" width="17.140625" bestFit="1" customWidth="1"/>
    <col min="3" max="12" width="11.42578125" style="38" customWidth="1"/>
    <col min="13" max="14" width="15.140625" style="38" customWidth="1"/>
    <col min="15" max="17" width="12.5703125" style="38" customWidth="1"/>
    <col min="19" max="19" width="12.140625" style="223" customWidth="1"/>
    <col min="20" max="20" width="9.140625" style="223"/>
    <col min="21" max="31" width="12.28515625" style="223" customWidth="1"/>
    <col min="32" max="32" width="9.140625" style="223"/>
  </cols>
  <sheetData>
    <row r="1" spans="1:32" ht="12.75" customHeight="1" x14ac:dyDescent="0.2">
      <c r="A1" s="9" t="s">
        <v>137</v>
      </c>
      <c r="B1" s="1245"/>
      <c r="C1" s="194">
        <f>1007.7640853819*K1</f>
        <v>933.86172170858913</v>
      </c>
      <c r="D1" s="194">
        <f>126.5917697275*K1</f>
        <v>117.30841547807324</v>
      </c>
      <c r="E1" s="194">
        <f>253.1928992901*K1</f>
        <v>234.6255044064591</v>
      </c>
      <c r="F1" s="194">
        <f>380.2713804428*K1</f>
        <v>352.38493930078818</v>
      </c>
      <c r="G1" s="194">
        <f>506.8631501703*K1</f>
        <v>469.69335477886142</v>
      </c>
      <c r="H1" s="194">
        <f>1013.7356601757*K1</f>
        <v>939.39538300803542</v>
      </c>
      <c r="I1" s="194">
        <f>1013.7356601757*K1</f>
        <v>939.39538300803542</v>
      </c>
      <c r="J1" s="32"/>
      <c r="K1" s="194">
        <f>1-0.073333</f>
        <v>0.92666700000000002</v>
      </c>
      <c r="L1" s="32"/>
      <c r="M1" s="32"/>
      <c r="N1" s="32"/>
      <c r="O1" s="13"/>
      <c r="P1" s="13"/>
      <c r="Q1" s="13"/>
    </row>
    <row r="2" spans="1:32" ht="30.75" customHeight="1" x14ac:dyDescent="0.2">
      <c r="A2" s="9" t="s">
        <v>138</v>
      </c>
      <c r="B2" s="1245"/>
      <c r="C2" s="194">
        <f>771.8119941*K2</f>
        <v>715.21270513666468</v>
      </c>
      <c r="D2" s="194">
        <f>100.496548395*K2</f>
        <v>93.126835011549474</v>
      </c>
      <c r="E2" s="194">
        <f>201.46108854*K2</f>
        <v>186.68734253409619</v>
      </c>
      <c r="F2" s="194">
        <f>301.96699677*K2</f>
        <v>279.82285099586556</v>
      </c>
      <c r="G2" s="194">
        <f>402.463545165*K2</f>
        <v>372.9496860074151</v>
      </c>
      <c r="H2" s="194">
        <f>805.39508208*K2</f>
        <v>746.33304452582729</v>
      </c>
      <c r="I2" s="194">
        <f>805.39508208*K2</f>
        <v>746.33304452582729</v>
      </c>
      <c r="J2" s="32"/>
      <c r="K2" s="194">
        <f>1-0.073333</f>
        <v>0.92666700000000002</v>
      </c>
      <c r="L2" s="32"/>
      <c r="M2" s="11"/>
      <c r="N2" s="32"/>
      <c r="O2" s="13"/>
      <c r="P2" s="13"/>
      <c r="Q2" s="13"/>
    </row>
    <row r="3" spans="1:32" x14ac:dyDescent="0.2">
      <c r="A3" s="9" t="s">
        <v>139</v>
      </c>
      <c r="B3" s="191" t="s">
        <v>254</v>
      </c>
      <c r="C3" s="192"/>
      <c r="D3" s="192"/>
      <c r="E3" s="192"/>
      <c r="F3" s="192"/>
      <c r="G3" s="192"/>
      <c r="H3" s="192"/>
      <c r="I3" s="192"/>
      <c r="J3" s="32"/>
      <c r="K3" s="32"/>
      <c r="L3" s="32"/>
      <c r="M3" s="239"/>
      <c r="N3" s="32"/>
      <c r="O3" s="13"/>
      <c r="P3" s="13"/>
      <c r="Q3" s="13"/>
    </row>
    <row r="4" spans="1:32" x14ac:dyDescent="0.2">
      <c r="A4" s="9" t="s">
        <v>140</v>
      </c>
      <c r="B4" s="191" t="s">
        <v>255</v>
      </c>
      <c r="C4" s="193"/>
      <c r="D4" s="193"/>
      <c r="E4" s="193"/>
      <c r="F4" s="193"/>
      <c r="G4" s="193"/>
      <c r="H4" s="193"/>
      <c r="I4" s="193"/>
      <c r="J4" s="32"/>
      <c r="K4" s="32"/>
      <c r="L4" s="32"/>
      <c r="M4" s="32"/>
      <c r="N4" s="32"/>
      <c r="O4" s="13"/>
      <c r="P4" s="13"/>
      <c r="Q4" s="13"/>
    </row>
    <row r="5" spans="1:32" x14ac:dyDescent="0.2">
      <c r="A5" s="9" t="s">
        <v>141</v>
      </c>
      <c r="B5" s="191" t="s">
        <v>256</v>
      </c>
      <c r="C5" s="193"/>
      <c r="D5" s="193"/>
      <c r="E5" s="193"/>
      <c r="F5" s="193"/>
      <c r="G5" s="193"/>
      <c r="H5" s="193"/>
      <c r="I5" s="193"/>
      <c r="J5" s="32"/>
      <c r="K5" s="32"/>
      <c r="L5" s="32"/>
      <c r="M5" s="32"/>
      <c r="N5" s="32"/>
      <c r="O5" s="13"/>
      <c r="P5" s="13"/>
      <c r="Q5" s="13"/>
      <c r="R5" s="1248" t="s">
        <v>964</v>
      </c>
      <c r="S5" s="1248"/>
      <c r="T5" s="1248" t="s">
        <v>958</v>
      </c>
      <c r="U5" s="1248"/>
      <c r="V5" s="1248" t="s">
        <v>959</v>
      </c>
      <c r="W5" s="1248"/>
      <c r="X5" s="1248" t="s">
        <v>960</v>
      </c>
      <c r="Y5" s="1248"/>
      <c r="Z5" s="1248" t="s">
        <v>961</v>
      </c>
      <c r="AA5" s="1248"/>
      <c r="AB5" s="1248" t="s">
        <v>962</v>
      </c>
      <c r="AC5" s="1248"/>
      <c r="AD5" s="1248" t="s">
        <v>963</v>
      </c>
      <c r="AE5" s="1248"/>
    </row>
    <row r="6" spans="1:32" ht="73.5" customHeight="1" x14ac:dyDescent="0.2">
      <c r="A6" s="25" t="s">
        <v>180</v>
      </c>
      <c r="B6" s="15" t="s">
        <v>142</v>
      </c>
      <c r="C6" s="235" t="s">
        <v>266</v>
      </c>
      <c r="D6" s="33" t="s">
        <v>182</v>
      </c>
      <c r="E6" s="33" t="s">
        <v>183</v>
      </c>
      <c r="F6" s="33" t="s">
        <v>184</v>
      </c>
      <c r="G6" s="33" t="s">
        <v>185</v>
      </c>
      <c r="H6" s="33" t="s">
        <v>186</v>
      </c>
      <c r="I6" s="33" t="s">
        <v>187</v>
      </c>
      <c r="J6" s="33"/>
      <c r="K6" s="33" t="s">
        <v>188</v>
      </c>
      <c r="L6" s="33" t="s">
        <v>189</v>
      </c>
      <c r="M6" s="33" t="s">
        <v>190</v>
      </c>
      <c r="N6" s="33" t="s">
        <v>191</v>
      </c>
      <c r="O6" s="17" t="s">
        <v>192</v>
      </c>
      <c r="P6" s="17"/>
      <c r="Q6" s="17"/>
      <c r="R6" s="17" t="s">
        <v>5</v>
      </c>
      <c r="S6" s="17" t="s">
        <v>7</v>
      </c>
      <c r="T6" s="17" t="s">
        <v>5</v>
      </c>
      <c r="U6" s="17" t="s">
        <v>7</v>
      </c>
      <c r="V6" s="17" t="s">
        <v>5</v>
      </c>
      <c r="W6" s="17" t="s">
        <v>7</v>
      </c>
      <c r="X6" s="17" t="s">
        <v>5</v>
      </c>
      <c r="Y6" s="17" t="s">
        <v>7</v>
      </c>
      <c r="Z6" s="17" t="s">
        <v>5</v>
      </c>
      <c r="AA6" s="17" t="s">
        <v>7</v>
      </c>
      <c r="AB6" s="17" t="s">
        <v>5</v>
      </c>
      <c r="AC6" s="17" t="s">
        <v>7</v>
      </c>
      <c r="AD6" s="17" t="s">
        <v>5</v>
      </c>
      <c r="AE6" s="17" t="s">
        <v>7</v>
      </c>
      <c r="AF6" s="235"/>
    </row>
    <row r="7" spans="1:32" x14ac:dyDescent="0.2">
      <c r="A7" s="18" t="s">
        <v>44</v>
      </c>
      <c r="B7" s="19">
        <v>2400</v>
      </c>
      <c r="C7" s="34">
        <v>232.51791530944624</v>
      </c>
      <c r="D7" s="34">
        <v>4.9999999999999964</v>
      </c>
      <c r="E7" s="34">
        <v>6.0000000000000142</v>
      </c>
      <c r="F7" s="34">
        <v>7.9999999999999867</v>
      </c>
      <c r="G7" s="34">
        <v>132.00000000000009</v>
      </c>
      <c r="H7" s="34">
        <v>104.00000000000006</v>
      </c>
      <c r="I7" s="34">
        <v>63.999999999999957</v>
      </c>
      <c r="J7" s="34">
        <f>SUM(C7:I7)</f>
        <v>551.51791530944638</v>
      </c>
      <c r="K7" s="34">
        <f t="shared" ref="K7:K37" si="0">C$1*C7</f>
        <v>217139.58071897138</v>
      </c>
      <c r="L7" s="34"/>
      <c r="M7" s="35">
        <f t="shared" ref="M7:M37" si="1">D$1*D7+E$1*E7+F$1*F7+G$1*G7+H$1*H7+I$1*I7</f>
        <v>224631.32179439516</v>
      </c>
      <c r="N7" s="35"/>
      <c r="O7" s="36">
        <f>K7+L7+M7+N7</f>
        <v>441770.90251336654</v>
      </c>
      <c r="P7" s="36"/>
      <c r="Q7" s="36"/>
      <c r="R7" s="37">
        <f>C7</f>
        <v>232.51791530944624</v>
      </c>
      <c r="S7" s="18"/>
      <c r="T7" s="18">
        <f>D7</f>
        <v>4.9999999999999964</v>
      </c>
      <c r="U7" s="18"/>
      <c r="V7" s="18">
        <f>E7</f>
        <v>6.0000000000000142</v>
      </c>
      <c r="W7" s="18"/>
      <c r="X7" s="18">
        <f>F7</f>
        <v>7.9999999999999867</v>
      </c>
      <c r="Y7" s="18"/>
      <c r="Z7" s="20">
        <f>G7</f>
        <v>132.00000000000009</v>
      </c>
      <c r="AB7" s="20">
        <f>H7</f>
        <v>104.00000000000006</v>
      </c>
      <c r="AD7" s="20">
        <f>I7</f>
        <v>63.999999999999957</v>
      </c>
    </row>
    <row r="8" spans="1:32" x14ac:dyDescent="0.2">
      <c r="A8" s="18" t="s">
        <v>45</v>
      </c>
      <c r="B8" s="19">
        <v>2443</v>
      </c>
      <c r="C8" s="34">
        <v>54.67777777777777</v>
      </c>
      <c r="D8" s="34">
        <v>35.135658914728637</v>
      </c>
      <c r="E8" s="34">
        <v>6.0232558139534955</v>
      </c>
      <c r="F8" s="34">
        <v>35.135658914728637</v>
      </c>
      <c r="G8" s="34">
        <v>51.197674418604606</v>
      </c>
      <c r="H8" s="34">
        <v>27.10465116279078</v>
      </c>
      <c r="I8" s="34">
        <v>3.0116279069767478</v>
      </c>
      <c r="J8" s="34">
        <f t="shared" ref="J8:J70" si="2">SUM(C8:I8)</f>
        <v>212.28630490956067</v>
      </c>
      <c r="K8" s="34">
        <f t="shared" si="0"/>
        <v>51061.483694755181</v>
      </c>
      <c r="L8" s="34"/>
      <c r="M8" s="35">
        <f t="shared" si="1"/>
        <v>70254.495907614109</v>
      </c>
      <c r="N8" s="35"/>
      <c r="O8" s="36">
        <f t="shared" ref="O8:O70" si="3">K8+L8+M8+N8</f>
        <v>121315.97960236929</v>
      </c>
      <c r="P8" s="36"/>
      <c r="Q8" s="36"/>
      <c r="R8" s="37">
        <f t="shared" ref="R8:R70" si="4">C8</f>
        <v>54.67777777777777</v>
      </c>
      <c r="S8" s="18"/>
      <c r="T8" s="18">
        <f t="shared" ref="T8:T70" si="5">D8</f>
        <v>35.135658914728637</v>
      </c>
      <c r="U8" s="18"/>
      <c r="V8" s="18">
        <f t="shared" ref="V8:V70" si="6">E8</f>
        <v>6.0232558139534955</v>
      </c>
      <c r="W8" s="18"/>
      <c r="X8" s="18">
        <f t="shared" ref="X8:X70" si="7">F8</f>
        <v>35.135658914728637</v>
      </c>
      <c r="Y8" s="18"/>
      <c r="Z8" s="20">
        <f t="shared" ref="Z8:Z70" si="8">G8</f>
        <v>51.197674418604606</v>
      </c>
      <c r="AB8" s="20">
        <f t="shared" ref="AB8:AB70" si="9">H8</f>
        <v>27.10465116279078</v>
      </c>
      <c r="AD8" s="20">
        <f t="shared" ref="AD8:AD70" si="10">I8</f>
        <v>3.0116279069767478</v>
      </c>
    </row>
    <row r="9" spans="1:32" x14ac:dyDescent="0.2">
      <c r="A9" s="18" t="s">
        <v>155</v>
      </c>
      <c r="B9" s="19">
        <v>2442</v>
      </c>
      <c r="C9" s="34">
        <v>118.37623762376238</v>
      </c>
      <c r="D9" s="34">
        <v>44.486842105263094</v>
      </c>
      <c r="E9" s="34">
        <v>10.638157894736844</v>
      </c>
      <c r="F9" s="34">
        <v>38.684210526315773</v>
      </c>
      <c r="G9" s="34">
        <v>48.35526315789464</v>
      </c>
      <c r="H9" s="34">
        <v>34.815789473684227</v>
      </c>
      <c r="I9" s="34">
        <v>4.8355263157894646</v>
      </c>
      <c r="J9" s="34">
        <f t="shared" si="2"/>
        <v>300.19202709744644</v>
      </c>
      <c r="K9" s="34">
        <f t="shared" si="0"/>
        <v>110547.0370767118</v>
      </c>
      <c r="L9" s="34"/>
      <c r="M9" s="35">
        <f t="shared" si="1"/>
        <v>81306.806053885943</v>
      </c>
      <c r="N9" s="35"/>
      <c r="O9" s="36">
        <f t="shared" si="3"/>
        <v>191853.84313059773</v>
      </c>
      <c r="P9" s="36"/>
      <c r="Q9" s="36"/>
      <c r="R9" s="37">
        <f t="shared" si="4"/>
        <v>118.37623762376238</v>
      </c>
      <c r="S9" s="18"/>
      <c r="T9" s="18">
        <f t="shared" si="5"/>
        <v>44.486842105263094</v>
      </c>
      <c r="U9" s="18"/>
      <c r="V9" s="18">
        <f t="shared" si="6"/>
        <v>10.638157894736844</v>
      </c>
      <c r="W9" s="18"/>
      <c r="X9" s="18">
        <f t="shared" si="7"/>
        <v>38.684210526315773</v>
      </c>
      <c r="Y9" s="18"/>
      <c r="Z9" s="20">
        <f t="shared" si="8"/>
        <v>48.35526315789464</v>
      </c>
      <c r="AB9" s="20">
        <f t="shared" si="9"/>
        <v>34.815789473684227</v>
      </c>
      <c r="AD9" s="20">
        <f t="shared" si="10"/>
        <v>4.8355263157894646</v>
      </c>
    </row>
    <row r="10" spans="1:32" x14ac:dyDescent="0.2">
      <c r="A10" s="18" t="s">
        <v>47</v>
      </c>
      <c r="B10" s="19">
        <v>2629</v>
      </c>
      <c r="C10" s="34">
        <v>145.30617977528092</v>
      </c>
      <c r="D10" s="34">
        <v>1.9753694581280803</v>
      </c>
      <c r="E10" s="34">
        <v>27.655172413793096</v>
      </c>
      <c r="F10" s="34">
        <v>107.65763546798034</v>
      </c>
      <c r="G10" s="34">
        <v>191.61083743842369</v>
      </c>
      <c r="H10" s="34">
        <v>49.384236453202007</v>
      </c>
      <c r="I10" s="34">
        <v>10.864532019704432</v>
      </c>
      <c r="J10" s="34">
        <f t="shared" si="2"/>
        <v>534.45396302651261</v>
      </c>
      <c r="K10" s="34">
        <f t="shared" si="0"/>
        <v>135695.87921984162</v>
      </c>
      <c r="L10" s="34"/>
      <c r="M10" s="35">
        <f t="shared" si="1"/>
        <v>191253.01756160991</v>
      </c>
      <c r="N10" s="35"/>
      <c r="O10" s="36">
        <f t="shared" si="3"/>
        <v>326948.89678145153</v>
      </c>
      <c r="P10" s="36"/>
      <c r="Q10" s="36"/>
      <c r="R10" s="37">
        <f t="shared" si="4"/>
        <v>145.30617977528092</v>
      </c>
      <c r="S10" s="18"/>
      <c r="T10" s="18">
        <f t="shared" si="5"/>
        <v>1.9753694581280803</v>
      </c>
      <c r="U10" s="18"/>
      <c r="V10" s="18">
        <f t="shared" si="6"/>
        <v>27.655172413793096</v>
      </c>
      <c r="W10" s="18"/>
      <c r="X10" s="18">
        <f t="shared" si="7"/>
        <v>107.65763546798034</v>
      </c>
      <c r="Y10" s="18"/>
      <c r="Z10" s="20">
        <f t="shared" si="8"/>
        <v>191.61083743842369</v>
      </c>
      <c r="AB10" s="20">
        <f t="shared" si="9"/>
        <v>49.384236453202007</v>
      </c>
      <c r="AD10" s="20">
        <f t="shared" si="10"/>
        <v>10.864532019704432</v>
      </c>
    </row>
    <row r="11" spans="1:32" x14ac:dyDescent="0.2">
      <c r="A11" s="18" t="s">
        <v>48</v>
      </c>
      <c r="B11" s="19">
        <v>2509</v>
      </c>
      <c r="C11" s="34">
        <v>51.895833333333329</v>
      </c>
      <c r="D11" s="34">
        <v>10.999999999999993</v>
      </c>
      <c r="E11" s="34">
        <v>0.99999999999999944</v>
      </c>
      <c r="F11" s="34">
        <v>54.000000000000099</v>
      </c>
      <c r="G11" s="34">
        <v>26.000000000000089</v>
      </c>
      <c r="H11" s="34">
        <v>8</v>
      </c>
      <c r="I11" s="34">
        <v>9.9999999999999947</v>
      </c>
      <c r="J11" s="34">
        <f t="shared" si="2"/>
        <v>161.89583333333351</v>
      </c>
      <c r="K11" s="34">
        <f t="shared" si="0"/>
        <v>48463.532266168651</v>
      </c>
      <c r="L11" s="34"/>
      <c r="M11" s="35">
        <f t="shared" si="1"/>
        <v>49674.948915302928</v>
      </c>
      <c r="N11" s="35"/>
      <c r="O11" s="36">
        <f t="shared" si="3"/>
        <v>98138.481181471579</v>
      </c>
      <c r="P11" s="36"/>
      <c r="Q11" s="36"/>
      <c r="R11" s="37">
        <f t="shared" si="4"/>
        <v>51.895833333333329</v>
      </c>
      <c r="S11" s="18"/>
      <c r="T11" s="18">
        <f t="shared" si="5"/>
        <v>10.999999999999993</v>
      </c>
      <c r="U11" s="18"/>
      <c r="V11" s="18">
        <f t="shared" si="6"/>
        <v>0.99999999999999944</v>
      </c>
      <c r="W11" s="18"/>
      <c r="X11" s="18">
        <f t="shared" si="7"/>
        <v>54.000000000000099</v>
      </c>
      <c r="Y11" s="18"/>
      <c r="Z11" s="20">
        <f t="shared" si="8"/>
        <v>26.000000000000089</v>
      </c>
      <c r="AB11" s="20">
        <f t="shared" si="9"/>
        <v>8</v>
      </c>
      <c r="AD11" s="20">
        <f t="shared" si="10"/>
        <v>9.9999999999999947</v>
      </c>
    </row>
    <row r="12" spans="1:32" x14ac:dyDescent="0.2">
      <c r="A12" s="18" t="s">
        <v>49</v>
      </c>
      <c r="B12" s="19">
        <v>2005</v>
      </c>
      <c r="C12" s="34">
        <v>162.99999999999997</v>
      </c>
      <c r="D12" s="34">
        <v>17.114093959731541</v>
      </c>
      <c r="E12" s="34">
        <v>78.523489932885894</v>
      </c>
      <c r="F12" s="34">
        <v>109.73154362416111</v>
      </c>
      <c r="G12" s="34">
        <v>51.342281879194502</v>
      </c>
      <c r="H12" s="34">
        <v>31.2080536912752</v>
      </c>
      <c r="I12" s="34">
        <v>1.0067114093959741</v>
      </c>
      <c r="J12" s="34">
        <f t="shared" si="2"/>
        <v>451.92617449664414</v>
      </c>
      <c r="K12" s="34">
        <f t="shared" si="0"/>
        <v>152219.46063849999</v>
      </c>
      <c r="L12" s="34"/>
      <c r="M12" s="35">
        <f t="shared" si="1"/>
        <v>113476.51423549934</v>
      </c>
      <c r="N12" s="35"/>
      <c r="O12" s="36">
        <f t="shared" si="3"/>
        <v>265695.97487399937</v>
      </c>
      <c r="P12" s="36"/>
      <c r="Q12" s="36"/>
      <c r="R12" s="37">
        <f t="shared" si="4"/>
        <v>162.99999999999997</v>
      </c>
      <c r="S12" s="18"/>
      <c r="T12" s="18">
        <f t="shared" si="5"/>
        <v>17.114093959731541</v>
      </c>
      <c r="U12" s="18"/>
      <c r="V12" s="18">
        <f t="shared" si="6"/>
        <v>78.523489932885894</v>
      </c>
      <c r="W12" s="18"/>
      <c r="X12" s="18">
        <f t="shared" si="7"/>
        <v>109.73154362416111</v>
      </c>
      <c r="Y12" s="18"/>
      <c r="Z12" s="20">
        <f t="shared" si="8"/>
        <v>51.342281879194502</v>
      </c>
      <c r="AB12" s="20">
        <f t="shared" si="9"/>
        <v>31.2080536912752</v>
      </c>
      <c r="AD12" s="20">
        <f t="shared" si="10"/>
        <v>1.0067114093959741</v>
      </c>
    </row>
    <row r="13" spans="1:32" x14ac:dyDescent="0.2">
      <c r="A13" s="18" t="s">
        <v>50</v>
      </c>
      <c r="B13" s="19">
        <v>2464</v>
      </c>
      <c r="C13" s="34">
        <v>65.263157894736821</v>
      </c>
      <c r="D13" s="34">
        <v>45.00000000000005</v>
      </c>
      <c r="E13" s="34">
        <v>108.00000000000007</v>
      </c>
      <c r="F13" s="34">
        <v>1.999999999999998</v>
      </c>
      <c r="G13" s="34">
        <v>1.0000000000000009</v>
      </c>
      <c r="H13" s="34">
        <v>1.999999999999998</v>
      </c>
      <c r="I13" s="34">
        <v>0</v>
      </c>
      <c r="J13" s="34">
        <f t="shared" si="2"/>
        <v>223.26315789473693</v>
      </c>
      <c r="K13" s="34">
        <f t="shared" si="0"/>
        <v>60946.764995718426</v>
      </c>
      <c r="L13" s="34"/>
      <c r="M13" s="35">
        <f t="shared" si="1"/>
        <v>33671.687171807404</v>
      </c>
      <c r="N13" s="35"/>
      <c r="O13" s="36">
        <f t="shared" si="3"/>
        <v>94618.452167525829</v>
      </c>
      <c r="P13" s="36"/>
      <c r="Q13" s="36"/>
      <c r="R13" s="37">
        <f t="shared" si="4"/>
        <v>65.263157894736821</v>
      </c>
      <c r="S13" s="18"/>
      <c r="T13" s="18">
        <f t="shared" si="5"/>
        <v>45.00000000000005</v>
      </c>
      <c r="U13" s="18"/>
      <c r="V13" s="18">
        <f t="shared" si="6"/>
        <v>108.00000000000007</v>
      </c>
      <c r="W13" s="18"/>
      <c r="X13" s="18">
        <f t="shared" si="7"/>
        <v>1.999999999999998</v>
      </c>
      <c r="Y13" s="18"/>
      <c r="Z13" s="20">
        <f t="shared" si="8"/>
        <v>1.0000000000000009</v>
      </c>
      <c r="AB13" s="20">
        <f t="shared" si="9"/>
        <v>1.999999999999998</v>
      </c>
      <c r="AD13" s="20">
        <f t="shared" si="10"/>
        <v>0</v>
      </c>
    </row>
    <row r="14" spans="1:32" x14ac:dyDescent="0.2">
      <c r="A14" s="18" t="s">
        <v>51</v>
      </c>
      <c r="B14" s="19">
        <v>2004</v>
      </c>
      <c r="C14" s="34">
        <v>170.58704453441294</v>
      </c>
      <c r="D14" s="34">
        <v>21.159695817490508</v>
      </c>
      <c r="E14" s="34">
        <v>18.136882129277573</v>
      </c>
      <c r="F14" s="34">
        <v>22.167300380228127</v>
      </c>
      <c r="G14" s="34">
        <v>5.0380228136882232</v>
      </c>
      <c r="H14" s="34">
        <v>178.3460076045628</v>
      </c>
      <c r="I14" s="34">
        <v>3.0228136882129335</v>
      </c>
      <c r="J14" s="34">
        <f t="shared" si="2"/>
        <v>418.45776696787311</v>
      </c>
      <c r="K14" s="34">
        <f t="shared" si="0"/>
        <v>159304.71111008665</v>
      </c>
      <c r="L14" s="34"/>
      <c r="M14" s="35">
        <f t="shared" si="1"/>
        <v>187292.36748609575</v>
      </c>
      <c r="N14" s="35"/>
      <c r="O14" s="36">
        <f t="shared" si="3"/>
        <v>346597.0785961824</v>
      </c>
      <c r="P14" s="36"/>
      <c r="Q14" s="36"/>
      <c r="R14" s="37">
        <f t="shared" si="4"/>
        <v>170.58704453441294</v>
      </c>
      <c r="S14" s="18"/>
      <c r="T14" s="18">
        <f t="shared" si="5"/>
        <v>21.159695817490508</v>
      </c>
      <c r="U14" s="18"/>
      <c r="V14" s="18">
        <f t="shared" si="6"/>
        <v>18.136882129277573</v>
      </c>
      <c r="W14" s="18"/>
      <c r="X14" s="18">
        <f t="shared" si="7"/>
        <v>22.167300380228127</v>
      </c>
      <c r="Y14" s="18"/>
      <c r="Z14" s="20">
        <f t="shared" si="8"/>
        <v>5.0380228136882232</v>
      </c>
      <c r="AB14" s="20">
        <f t="shared" si="9"/>
        <v>178.3460076045628</v>
      </c>
      <c r="AD14" s="20">
        <f t="shared" si="10"/>
        <v>3.0228136882129335</v>
      </c>
    </row>
    <row r="15" spans="1:32" x14ac:dyDescent="0.2">
      <c r="A15" s="18" t="s">
        <v>52</v>
      </c>
      <c r="B15" s="19">
        <v>2405</v>
      </c>
      <c r="C15" s="34">
        <v>106.81481481481475</v>
      </c>
      <c r="D15" s="34">
        <v>1.9405940594059403</v>
      </c>
      <c r="E15" s="34">
        <v>33.960396039603907</v>
      </c>
      <c r="F15" s="34">
        <v>104.79207920792086</v>
      </c>
      <c r="G15" s="34">
        <v>5.8217821782178216</v>
      </c>
      <c r="H15" s="34">
        <v>42.693069306930724</v>
      </c>
      <c r="I15" s="34">
        <v>3.8811881188118806</v>
      </c>
      <c r="J15" s="34">
        <f t="shared" si="2"/>
        <v>299.90392372570591</v>
      </c>
      <c r="K15" s="34">
        <f t="shared" si="0"/>
        <v>99750.266866947015</v>
      </c>
      <c r="L15" s="34"/>
      <c r="M15" s="35">
        <f t="shared" si="1"/>
        <v>91608.868330566067</v>
      </c>
      <c r="N15" s="35"/>
      <c r="O15" s="36">
        <f t="shared" si="3"/>
        <v>191359.1351975131</v>
      </c>
      <c r="P15" s="36"/>
      <c r="Q15" s="36"/>
      <c r="R15" s="37">
        <f t="shared" si="4"/>
        <v>106.81481481481475</v>
      </c>
      <c r="S15" s="18"/>
      <c r="T15" s="18">
        <f t="shared" si="5"/>
        <v>1.9405940594059403</v>
      </c>
      <c r="U15" s="18"/>
      <c r="V15" s="18">
        <f t="shared" si="6"/>
        <v>33.960396039603907</v>
      </c>
      <c r="W15" s="18"/>
      <c r="X15" s="18">
        <f t="shared" si="7"/>
        <v>104.79207920792086</v>
      </c>
      <c r="Y15" s="18"/>
      <c r="Z15" s="20">
        <f t="shared" si="8"/>
        <v>5.8217821782178216</v>
      </c>
      <c r="AB15" s="20">
        <f t="shared" si="9"/>
        <v>42.693069306930724</v>
      </c>
      <c r="AD15" s="20">
        <f t="shared" si="10"/>
        <v>3.8811881188118806</v>
      </c>
    </row>
    <row r="16" spans="1:32" x14ac:dyDescent="0.2">
      <c r="A16" s="18" t="s">
        <v>156</v>
      </c>
      <c r="B16" s="19">
        <v>3525</v>
      </c>
      <c r="C16" s="34">
        <v>68.287128712871308</v>
      </c>
      <c r="D16" s="34">
        <v>0</v>
      </c>
      <c r="E16" s="34">
        <v>90.999999999999943</v>
      </c>
      <c r="F16" s="34">
        <v>63.000000000000085</v>
      </c>
      <c r="G16" s="34">
        <v>10.999999999999995</v>
      </c>
      <c r="H16" s="34">
        <v>15.000000000000009</v>
      </c>
      <c r="I16" s="34">
        <v>0.99999999999999978</v>
      </c>
      <c r="J16" s="34">
        <f t="shared" si="2"/>
        <v>249.28712871287135</v>
      </c>
      <c r="K16" s="34">
        <f t="shared" si="0"/>
        <v>63770.73559033803</v>
      </c>
      <c r="L16" s="34"/>
      <c r="M16" s="35">
        <f t="shared" si="1"/>
        <v>63748.125107633496</v>
      </c>
      <c r="N16" s="35"/>
      <c r="O16" s="36">
        <f t="shared" si="3"/>
        <v>127518.86069797153</v>
      </c>
      <c r="P16" s="36"/>
      <c r="Q16" s="36"/>
      <c r="R16" s="37">
        <f t="shared" si="4"/>
        <v>68.287128712871308</v>
      </c>
      <c r="S16" s="18"/>
      <c r="T16" s="18">
        <f t="shared" si="5"/>
        <v>0</v>
      </c>
      <c r="U16" s="18"/>
      <c r="V16" s="18">
        <f t="shared" si="6"/>
        <v>90.999999999999943</v>
      </c>
      <c r="W16" s="18"/>
      <c r="X16" s="18">
        <f t="shared" si="7"/>
        <v>63.000000000000085</v>
      </c>
      <c r="Y16" s="18"/>
      <c r="Z16" s="20">
        <f t="shared" si="8"/>
        <v>10.999999999999995</v>
      </c>
      <c r="AB16" s="20">
        <f t="shared" si="9"/>
        <v>15.000000000000009</v>
      </c>
      <c r="AD16" s="20">
        <f t="shared" si="10"/>
        <v>0.99999999999999978</v>
      </c>
    </row>
    <row r="17" spans="1:30" x14ac:dyDescent="0.2">
      <c r="A17" s="18" t="s">
        <v>54</v>
      </c>
      <c r="B17" s="19">
        <v>5201</v>
      </c>
      <c r="C17" s="34">
        <v>54.673684210526304</v>
      </c>
      <c r="D17" s="34">
        <v>26.066496163682885</v>
      </c>
      <c r="E17" s="34">
        <v>86.219948849104739</v>
      </c>
      <c r="F17" s="34">
        <v>12.030690537084407</v>
      </c>
      <c r="G17" s="34">
        <v>3.0076726342710982</v>
      </c>
      <c r="H17" s="34">
        <v>1.0025575447570341</v>
      </c>
      <c r="I17" s="34">
        <v>1.0025575447570341</v>
      </c>
      <c r="J17" s="34">
        <f t="shared" si="2"/>
        <v>184.00360748418348</v>
      </c>
      <c r="K17" s="34">
        <f t="shared" si="0"/>
        <v>51057.6608689938</v>
      </c>
      <c r="L17" s="34"/>
      <c r="M17" s="35">
        <f t="shared" si="1"/>
        <v>30822.932212460895</v>
      </c>
      <c r="N17" s="35"/>
      <c r="O17" s="36">
        <f t="shared" si="3"/>
        <v>81880.593081454688</v>
      </c>
      <c r="P17" s="36"/>
      <c r="Q17" s="36"/>
      <c r="R17" s="37">
        <f t="shared" si="4"/>
        <v>54.673684210526304</v>
      </c>
      <c r="S17" s="18"/>
      <c r="T17" s="18">
        <f t="shared" si="5"/>
        <v>26.066496163682885</v>
      </c>
      <c r="U17" s="18"/>
      <c r="V17" s="18">
        <f t="shared" si="6"/>
        <v>86.219948849104739</v>
      </c>
      <c r="W17" s="18"/>
      <c r="X17" s="18">
        <f t="shared" si="7"/>
        <v>12.030690537084407</v>
      </c>
      <c r="Y17" s="18"/>
      <c r="Z17" s="20">
        <f t="shared" si="8"/>
        <v>3.0076726342710982</v>
      </c>
      <c r="AB17" s="20">
        <f t="shared" si="9"/>
        <v>1.0025575447570341</v>
      </c>
      <c r="AD17" s="20">
        <f t="shared" si="10"/>
        <v>1.0025575447570341</v>
      </c>
    </row>
    <row r="18" spans="1:30" x14ac:dyDescent="0.2">
      <c r="A18" s="18" t="s">
        <v>157</v>
      </c>
      <c r="B18" s="19">
        <v>2007</v>
      </c>
      <c r="C18" s="34">
        <v>153.52016129032259</v>
      </c>
      <c r="D18" s="34">
        <v>0</v>
      </c>
      <c r="E18" s="34">
        <v>25.694444444444443</v>
      </c>
      <c r="F18" s="34">
        <v>23.6388888888889</v>
      </c>
      <c r="G18" s="34">
        <v>121.2777777777777</v>
      </c>
      <c r="H18" s="34">
        <v>52.416666666666565</v>
      </c>
      <c r="I18" s="34">
        <v>12.333333333333329</v>
      </c>
      <c r="J18" s="34">
        <f t="shared" si="2"/>
        <v>388.88127240143353</v>
      </c>
      <c r="K18" s="34">
        <f t="shared" si="0"/>
        <v>143366.60213956094</v>
      </c>
      <c r="L18" s="34"/>
      <c r="M18" s="35">
        <f t="shared" si="1"/>
        <v>132147.77776881057</v>
      </c>
      <c r="N18" s="35"/>
      <c r="O18" s="36">
        <f t="shared" si="3"/>
        <v>275514.37990837148</v>
      </c>
      <c r="P18" s="36"/>
      <c r="Q18" s="36"/>
      <c r="R18" s="37">
        <f t="shared" si="4"/>
        <v>153.52016129032259</v>
      </c>
      <c r="S18" s="18"/>
      <c r="T18" s="18">
        <f t="shared" si="5"/>
        <v>0</v>
      </c>
      <c r="U18" s="18"/>
      <c r="V18" s="18">
        <f t="shared" si="6"/>
        <v>25.694444444444443</v>
      </c>
      <c r="W18" s="18"/>
      <c r="X18" s="18">
        <f t="shared" si="7"/>
        <v>23.6388888888889</v>
      </c>
      <c r="Y18" s="18"/>
      <c r="Z18" s="20">
        <f t="shared" si="8"/>
        <v>121.2777777777777</v>
      </c>
      <c r="AB18" s="20">
        <f t="shared" si="9"/>
        <v>52.416666666666565</v>
      </c>
      <c r="AD18" s="20">
        <f t="shared" si="10"/>
        <v>12.333333333333329</v>
      </c>
    </row>
    <row r="19" spans="1:30" x14ac:dyDescent="0.2">
      <c r="A19" s="18" t="s">
        <v>56</v>
      </c>
      <c r="B19" s="19">
        <v>2433</v>
      </c>
      <c r="C19" s="34">
        <v>67.600000000000037</v>
      </c>
      <c r="D19" s="34">
        <v>27.286458333333279</v>
      </c>
      <c r="E19" s="34">
        <v>38.729166666666721</v>
      </c>
      <c r="F19" s="34">
        <v>51.932291666666728</v>
      </c>
      <c r="G19" s="34">
        <v>12.322916666666671</v>
      </c>
      <c r="H19" s="34">
        <v>23.765625</v>
      </c>
      <c r="I19" s="34">
        <v>2.640625</v>
      </c>
      <c r="J19" s="34">
        <f t="shared" si="2"/>
        <v>224.27708333333345</v>
      </c>
      <c r="K19" s="34">
        <f t="shared" si="0"/>
        <v>63129.052387500662</v>
      </c>
      <c r="L19" s="34"/>
      <c r="M19" s="35">
        <f t="shared" si="1"/>
        <v>61181.840304592428</v>
      </c>
      <c r="N19" s="35"/>
      <c r="O19" s="36">
        <f t="shared" si="3"/>
        <v>124310.8926920931</v>
      </c>
      <c r="P19" s="36"/>
      <c r="Q19" s="36"/>
      <c r="R19" s="37">
        <f t="shared" si="4"/>
        <v>67.600000000000037</v>
      </c>
      <c r="S19" s="18"/>
      <c r="T19" s="18">
        <f t="shared" si="5"/>
        <v>27.286458333333279</v>
      </c>
      <c r="U19" s="18"/>
      <c r="V19" s="18">
        <f t="shared" si="6"/>
        <v>38.729166666666721</v>
      </c>
      <c r="W19" s="18"/>
      <c r="X19" s="18">
        <f t="shared" si="7"/>
        <v>51.932291666666728</v>
      </c>
      <c r="Y19" s="18"/>
      <c r="Z19" s="20">
        <f t="shared" si="8"/>
        <v>12.322916666666671</v>
      </c>
      <c r="AB19" s="20">
        <f t="shared" si="9"/>
        <v>23.765625</v>
      </c>
      <c r="AD19" s="20">
        <f t="shared" si="10"/>
        <v>2.640625</v>
      </c>
    </row>
    <row r="20" spans="1:30" x14ac:dyDescent="0.2">
      <c r="A20" s="18" t="s">
        <v>57</v>
      </c>
      <c r="B20" s="19">
        <v>2432</v>
      </c>
      <c r="C20" s="34">
        <v>101.17226890756302</v>
      </c>
      <c r="D20" s="34">
        <v>47.828326180257513</v>
      </c>
      <c r="E20" s="34">
        <v>43.557939914163128</v>
      </c>
      <c r="F20" s="34">
        <v>49.536480686695192</v>
      </c>
      <c r="G20" s="34">
        <v>4.2703862660944285</v>
      </c>
      <c r="H20" s="34">
        <v>29.038626609442083</v>
      </c>
      <c r="I20" s="34">
        <v>4.2703862660944285</v>
      </c>
      <c r="J20" s="34">
        <f t="shared" si="2"/>
        <v>279.67441483030979</v>
      </c>
      <c r="K20" s="34">
        <f t="shared" si="0"/>
        <v>94480.909231181169</v>
      </c>
      <c r="L20" s="34"/>
      <c r="M20" s="35">
        <f t="shared" si="1"/>
        <v>66582.483481754636</v>
      </c>
      <c r="N20" s="35"/>
      <c r="O20" s="36">
        <f t="shared" si="3"/>
        <v>161063.39271293581</v>
      </c>
      <c r="P20" s="36"/>
      <c r="Q20" s="36"/>
      <c r="R20" s="37">
        <f t="shared" si="4"/>
        <v>101.17226890756302</v>
      </c>
      <c r="S20" s="18"/>
      <c r="T20" s="18">
        <f t="shared" si="5"/>
        <v>47.828326180257513</v>
      </c>
      <c r="U20" s="18"/>
      <c r="V20" s="18">
        <f t="shared" si="6"/>
        <v>43.557939914163128</v>
      </c>
      <c r="W20" s="18"/>
      <c r="X20" s="18">
        <f t="shared" si="7"/>
        <v>49.536480686695192</v>
      </c>
      <c r="Y20" s="18"/>
      <c r="Z20" s="20">
        <f t="shared" si="8"/>
        <v>4.2703862660944285</v>
      </c>
      <c r="AB20" s="20">
        <f t="shared" si="9"/>
        <v>29.038626609442083</v>
      </c>
      <c r="AD20" s="20">
        <f t="shared" si="10"/>
        <v>4.2703862660944285</v>
      </c>
    </row>
    <row r="21" spans="1:30" x14ac:dyDescent="0.2">
      <c r="A21" s="18" t="s">
        <v>59</v>
      </c>
      <c r="B21" s="19">
        <v>2447</v>
      </c>
      <c r="C21" s="34">
        <v>152.32330827067668</v>
      </c>
      <c r="D21" s="34">
        <v>78.176136363636459</v>
      </c>
      <c r="E21" s="34">
        <v>98.255681818181884</v>
      </c>
      <c r="F21" s="34">
        <v>11.011363636363644</v>
      </c>
      <c r="G21" s="34">
        <v>50.153409090909058</v>
      </c>
      <c r="H21" s="34">
        <v>60.136363636363569</v>
      </c>
      <c r="I21" s="34">
        <v>1.0056818181818179</v>
      </c>
      <c r="J21" s="34">
        <f t="shared" si="2"/>
        <v>451.06194463431308</v>
      </c>
      <c r="K21" s="34">
        <f t="shared" si="0"/>
        <v>142248.90691800229</v>
      </c>
      <c r="L21" s="34"/>
      <c r="M21" s="35">
        <f t="shared" si="1"/>
        <v>117097.52447619945</v>
      </c>
      <c r="N21" s="35"/>
      <c r="O21" s="36">
        <f t="shared" si="3"/>
        <v>259346.43139420176</v>
      </c>
      <c r="P21" s="36"/>
      <c r="Q21" s="36"/>
      <c r="R21" s="37">
        <f t="shared" si="4"/>
        <v>152.32330827067668</v>
      </c>
      <c r="S21" s="18"/>
      <c r="T21" s="18">
        <f t="shared" si="5"/>
        <v>78.176136363636459</v>
      </c>
      <c r="U21" s="18"/>
      <c r="V21" s="18">
        <f t="shared" si="6"/>
        <v>98.255681818181884</v>
      </c>
      <c r="W21" s="18"/>
      <c r="X21" s="18">
        <f t="shared" si="7"/>
        <v>11.011363636363644</v>
      </c>
      <c r="Y21" s="18"/>
      <c r="Z21" s="20">
        <f t="shared" si="8"/>
        <v>50.153409090909058</v>
      </c>
      <c r="AB21" s="20">
        <f t="shared" si="9"/>
        <v>60.136363636363569</v>
      </c>
      <c r="AD21" s="20">
        <f t="shared" si="10"/>
        <v>1.0056818181818179</v>
      </c>
    </row>
    <row r="22" spans="1:30" x14ac:dyDescent="0.2">
      <c r="A22" s="18" t="s">
        <v>60</v>
      </c>
      <c r="B22" s="19">
        <v>2512</v>
      </c>
      <c r="C22" s="34">
        <v>35.184079601990049</v>
      </c>
      <c r="D22" s="34">
        <v>52</v>
      </c>
      <c r="E22" s="34">
        <v>2.0000000000000009</v>
      </c>
      <c r="F22" s="34">
        <v>7.0000000000000098</v>
      </c>
      <c r="G22" s="34">
        <v>1.0000000000000004</v>
      </c>
      <c r="H22" s="34">
        <v>0</v>
      </c>
      <c r="I22" s="34">
        <v>1.0000000000000004</v>
      </c>
      <c r="J22" s="34">
        <f t="shared" si="2"/>
        <v>98.184079601990064</v>
      </c>
      <c r="K22" s="34">
        <f t="shared" si="0"/>
        <v>32857.065153846481</v>
      </c>
      <c r="L22" s="34"/>
      <c r="M22" s="35">
        <f t="shared" si="1"/>
        <v>10445.071926565144</v>
      </c>
      <c r="N22" s="35"/>
      <c r="O22" s="36">
        <f t="shared" si="3"/>
        <v>43302.137080411623</v>
      </c>
      <c r="P22" s="36"/>
      <c r="Q22" s="36"/>
      <c r="R22" s="37">
        <f t="shared" si="4"/>
        <v>35.184079601990049</v>
      </c>
      <c r="S22" s="18"/>
      <c r="T22" s="18">
        <f t="shared" si="5"/>
        <v>52</v>
      </c>
      <c r="U22" s="18"/>
      <c r="V22" s="18">
        <f t="shared" si="6"/>
        <v>2.0000000000000009</v>
      </c>
      <c r="W22" s="18"/>
      <c r="X22" s="18">
        <f t="shared" si="7"/>
        <v>7.0000000000000098</v>
      </c>
      <c r="Y22" s="18"/>
      <c r="Z22" s="20">
        <f t="shared" si="8"/>
        <v>1.0000000000000004</v>
      </c>
      <c r="AB22" s="20">
        <f t="shared" si="9"/>
        <v>0</v>
      </c>
      <c r="AD22" s="20">
        <f t="shared" si="10"/>
        <v>1.0000000000000004</v>
      </c>
    </row>
    <row r="23" spans="1:30" x14ac:dyDescent="0.2">
      <c r="A23" s="18" t="s">
        <v>61</v>
      </c>
      <c r="B23" s="19">
        <v>2456</v>
      </c>
      <c r="C23" s="34">
        <v>13.073446327683616</v>
      </c>
      <c r="D23" s="34">
        <v>6.9999999999999973</v>
      </c>
      <c r="E23" s="34">
        <v>1.0000000000000004</v>
      </c>
      <c r="F23" s="34">
        <v>10.000000000000005</v>
      </c>
      <c r="G23" s="34">
        <v>1.0000000000000004</v>
      </c>
      <c r="H23" s="34">
        <v>2.0000000000000044</v>
      </c>
      <c r="I23" s="34">
        <v>0</v>
      </c>
      <c r="J23" s="34">
        <f t="shared" si="2"/>
        <v>34.073446327683627</v>
      </c>
      <c r="K23" s="34">
        <f t="shared" si="0"/>
        <v>12208.791096235453</v>
      </c>
      <c r="L23" s="34"/>
      <c r="M23" s="35">
        <f t="shared" si="1"/>
        <v>6928.1179265557912</v>
      </c>
      <c r="N23" s="35"/>
      <c r="O23" s="36">
        <f t="shared" si="3"/>
        <v>19136.909022791246</v>
      </c>
      <c r="P23" s="36"/>
      <c r="Q23" s="36"/>
      <c r="R23" s="37">
        <f t="shared" si="4"/>
        <v>13.073446327683616</v>
      </c>
      <c r="S23" s="18"/>
      <c r="T23" s="18">
        <f t="shared" si="5"/>
        <v>6.9999999999999973</v>
      </c>
      <c r="U23" s="18"/>
      <c r="V23" s="18">
        <f t="shared" si="6"/>
        <v>1.0000000000000004</v>
      </c>
      <c r="W23" s="18"/>
      <c r="X23" s="18">
        <f t="shared" si="7"/>
        <v>10.000000000000005</v>
      </c>
      <c r="Y23" s="18"/>
      <c r="Z23" s="20">
        <f t="shared" si="8"/>
        <v>1.0000000000000004</v>
      </c>
      <c r="AB23" s="20">
        <f t="shared" si="9"/>
        <v>2.0000000000000044</v>
      </c>
      <c r="AD23" s="20">
        <f t="shared" si="10"/>
        <v>0</v>
      </c>
    </row>
    <row r="24" spans="1:30" x14ac:dyDescent="0.2">
      <c r="A24" s="18" t="s">
        <v>62</v>
      </c>
      <c r="B24" s="19">
        <v>2449</v>
      </c>
      <c r="C24" s="34">
        <v>71.877394636015325</v>
      </c>
      <c r="D24" s="34">
        <v>34.999999999999964</v>
      </c>
      <c r="E24" s="34">
        <v>4.9999999999999876</v>
      </c>
      <c r="F24" s="34">
        <v>49.999999999999872</v>
      </c>
      <c r="G24" s="34">
        <v>29.00000000000011</v>
      </c>
      <c r="H24" s="34">
        <v>19</v>
      </c>
      <c r="I24" s="34">
        <v>0</v>
      </c>
      <c r="J24" s="34">
        <f t="shared" si="2"/>
        <v>209.87739463601525</v>
      </c>
      <c r="K24" s="34">
        <f t="shared" si="0"/>
        <v>67123.547506716975</v>
      </c>
      <c r="L24" s="34"/>
      <c r="M24" s="35">
        <f t="shared" si="1"/>
        <v>54367.788594543919</v>
      </c>
      <c r="N24" s="35"/>
      <c r="O24" s="36">
        <f t="shared" si="3"/>
        <v>121491.33610126089</v>
      </c>
      <c r="P24" s="36"/>
      <c r="Q24" s="36"/>
      <c r="R24" s="37">
        <f t="shared" si="4"/>
        <v>71.877394636015325</v>
      </c>
      <c r="S24" s="18"/>
      <c r="T24" s="18">
        <f t="shared" si="5"/>
        <v>34.999999999999964</v>
      </c>
      <c r="U24" s="18"/>
      <c r="V24" s="18">
        <f t="shared" si="6"/>
        <v>4.9999999999999876</v>
      </c>
      <c r="W24" s="18"/>
      <c r="X24" s="18">
        <f t="shared" si="7"/>
        <v>49.999999999999872</v>
      </c>
      <c r="Y24" s="18"/>
      <c r="Z24" s="20">
        <f t="shared" si="8"/>
        <v>29.00000000000011</v>
      </c>
      <c r="AB24" s="20">
        <f t="shared" si="9"/>
        <v>19</v>
      </c>
      <c r="AD24" s="20">
        <f t="shared" si="10"/>
        <v>0</v>
      </c>
    </row>
    <row r="25" spans="1:30" x14ac:dyDescent="0.2">
      <c r="A25" s="18" t="s">
        <v>63</v>
      </c>
      <c r="B25" s="19">
        <v>2448</v>
      </c>
      <c r="C25" s="34">
        <v>103.66666666666666</v>
      </c>
      <c r="D25" s="34">
        <v>44.000000000000128</v>
      </c>
      <c r="E25" s="34">
        <v>12.999999999999993</v>
      </c>
      <c r="F25" s="34">
        <v>52.999999999999943</v>
      </c>
      <c r="G25" s="34">
        <v>31.000000000000011</v>
      </c>
      <c r="H25" s="34">
        <v>29</v>
      </c>
      <c r="I25" s="34">
        <v>0</v>
      </c>
      <c r="J25" s="34">
        <f t="shared" si="2"/>
        <v>273.66666666666674</v>
      </c>
      <c r="K25" s="34">
        <f t="shared" si="0"/>
        <v>96810.331817123733</v>
      </c>
      <c r="L25" s="34"/>
      <c r="M25" s="35">
        <f t="shared" si="1"/>
        <v>68691.063726638706</v>
      </c>
      <c r="N25" s="35"/>
      <c r="O25" s="36">
        <f t="shared" si="3"/>
        <v>165501.39554376242</v>
      </c>
      <c r="P25" s="36"/>
      <c r="Q25" s="36"/>
      <c r="R25" s="37">
        <f t="shared" si="4"/>
        <v>103.66666666666666</v>
      </c>
      <c r="S25" s="18"/>
      <c r="T25" s="18">
        <f t="shared" si="5"/>
        <v>44.000000000000128</v>
      </c>
      <c r="U25" s="18"/>
      <c r="V25" s="18">
        <f t="shared" si="6"/>
        <v>12.999999999999993</v>
      </c>
      <c r="W25" s="18"/>
      <c r="X25" s="18">
        <f t="shared" si="7"/>
        <v>52.999999999999943</v>
      </c>
      <c r="Y25" s="18"/>
      <c r="Z25" s="20">
        <f t="shared" si="8"/>
        <v>31.000000000000011</v>
      </c>
      <c r="AB25" s="20">
        <f t="shared" si="9"/>
        <v>29</v>
      </c>
      <c r="AD25" s="20">
        <f t="shared" si="10"/>
        <v>0</v>
      </c>
    </row>
    <row r="26" spans="1:30" x14ac:dyDescent="0.2">
      <c r="A26" s="18" t="s">
        <v>193</v>
      </c>
      <c r="B26" s="19">
        <v>2467</v>
      </c>
      <c r="C26" s="34">
        <v>98.063400576368863</v>
      </c>
      <c r="D26" s="34">
        <v>34.188888888888876</v>
      </c>
      <c r="E26" s="34">
        <v>31.172222222222217</v>
      </c>
      <c r="F26" s="34">
        <v>109.60555555555563</v>
      </c>
      <c r="G26" s="34">
        <v>8.0444444444444354</v>
      </c>
      <c r="H26" s="34">
        <v>24.133333333333344</v>
      </c>
      <c r="I26" s="34">
        <v>3.0166666666666653</v>
      </c>
      <c r="J26" s="34">
        <f t="shared" si="2"/>
        <v>308.22451168748</v>
      </c>
      <c r="K26" s="34">
        <f t="shared" si="0"/>
        <v>91577.656098846885</v>
      </c>
      <c r="L26" s="34"/>
      <c r="M26" s="35">
        <f t="shared" si="1"/>
        <v>79230.796533455665</v>
      </c>
      <c r="N26" s="35"/>
      <c r="O26" s="36">
        <f t="shared" si="3"/>
        <v>170808.45263230253</v>
      </c>
      <c r="P26" s="36"/>
      <c r="Q26" s="36"/>
      <c r="R26" s="37">
        <f t="shared" si="4"/>
        <v>98.063400576368863</v>
      </c>
      <c r="S26" s="18"/>
      <c r="T26" s="18">
        <f t="shared" si="5"/>
        <v>34.188888888888876</v>
      </c>
      <c r="U26" s="18"/>
      <c r="V26" s="18">
        <f t="shared" si="6"/>
        <v>31.172222222222217</v>
      </c>
      <c r="W26" s="18"/>
      <c r="X26" s="18">
        <f t="shared" si="7"/>
        <v>109.60555555555563</v>
      </c>
      <c r="Y26" s="18"/>
      <c r="Z26" s="20">
        <f t="shared" si="8"/>
        <v>8.0444444444444354</v>
      </c>
      <c r="AB26" s="20">
        <f t="shared" si="9"/>
        <v>24.133333333333344</v>
      </c>
      <c r="AD26" s="20">
        <f t="shared" si="10"/>
        <v>3.0166666666666653</v>
      </c>
    </row>
    <row r="27" spans="1:30" x14ac:dyDescent="0.2">
      <c r="A27" s="18" t="s">
        <v>65</v>
      </c>
      <c r="B27" s="19">
        <v>2455</v>
      </c>
      <c r="C27" s="34">
        <v>45.487465181058489</v>
      </c>
      <c r="D27" s="34">
        <v>2.0000000000000004</v>
      </c>
      <c r="E27" s="34">
        <v>89.999999999999858</v>
      </c>
      <c r="F27" s="34">
        <v>2.9999999999999991</v>
      </c>
      <c r="G27" s="34">
        <v>3.9999999999999942</v>
      </c>
      <c r="H27" s="34">
        <v>2.9999999999999991</v>
      </c>
      <c r="I27" s="34">
        <v>0</v>
      </c>
      <c r="J27" s="34">
        <f t="shared" si="2"/>
        <v>147.48746518105835</v>
      </c>
      <c r="K27" s="34">
        <f t="shared" si="0"/>
        <v>42479.002550142781</v>
      </c>
      <c r="L27" s="34"/>
      <c r="M27" s="35">
        <f t="shared" si="1"/>
        <v>27105.026613579343</v>
      </c>
      <c r="N27" s="35"/>
      <c r="O27" s="36">
        <f t="shared" si="3"/>
        <v>69584.029163722123</v>
      </c>
      <c r="P27" s="36"/>
      <c r="Q27" s="36"/>
      <c r="R27" s="37">
        <f t="shared" si="4"/>
        <v>45.487465181058489</v>
      </c>
      <c r="S27" s="18"/>
      <c r="T27" s="18">
        <f t="shared" si="5"/>
        <v>2.0000000000000004</v>
      </c>
      <c r="U27" s="18"/>
      <c r="V27" s="18">
        <f t="shared" si="6"/>
        <v>89.999999999999858</v>
      </c>
      <c r="W27" s="18"/>
      <c r="X27" s="18">
        <f t="shared" si="7"/>
        <v>2.9999999999999991</v>
      </c>
      <c r="Y27" s="18"/>
      <c r="Z27" s="20">
        <f t="shared" si="8"/>
        <v>3.9999999999999942</v>
      </c>
      <c r="AB27" s="20">
        <f t="shared" si="9"/>
        <v>2.9999999999999991</v>
      </c>
      <c r="AD27" s="20">
        <f t="shared" si="10"/>
        <v>0</v>
      </c>
    </row>
    <row r="28" spans="1:30" x14ac:dyDescent="0.2">
      <c r="A28" s="18" t="s">
        <v>66</v>
      </c>
      <c r="B28" s="19">
        <v>5203</v>
      </c>
      <c r="C28" s="34">
        <v>92.806652806652806</v>
      </c>
      <c r="D28" s="34">
        <v>4.0251572327044034</v>
      </c>
      <c r="E28" s="34">
        <v>103.64779874213856</v>
      </c>
      <c r="F28" s="34">
        <v>2.0125786163522017</v>
      </c>
      <c r="G28" s="34">
        <v>11.069182389937103</v>
      </c>
      <c r="H28" s="34">
        <v>6.0377358490566237</v>
      </c>
      <c r="I28" s="34">
        <v>4.0251572327044034</v>
      </c>
      <c r="J28" s="34">
        <f t="shared" si="2"/>
        <v>223.6242628695461</v>
      </c>
      <c r="K28" s="34">
        <f t="shared" si="0"/>
        <v>86668.580576032051</v>
      </c>
      <c r="L28" s="34"/>
      <c r="M28" s="35">
        <f t="shared" si="1"/>
        <v>40151.960983171877</v>
      </c>
      <c r="N28" s="35"/>
      <c r="O28" s="36">
        <f t="shared" si="3"/>
        <v>126820.54155920394</v>
      </c>
      <c r="P28" s="36"/>
      <c r="Q28" s="36"/>
      <c r="R28" s="37">
        <f t="shared" si="4"/>
        <v>92.806652806652806</v>
      </c>
      <c r="S28" s="18"/>
      <c r="T28" s="18">
        <f t="shared" si="5"/>
        <v>4.0251572327044034</v>
      </c>
      <c r="U28" s="18"/>
      <c r="V28" s="18">
        <f t="shared" si="6"/>
        <v>103.64779874213856</v>
      </c>
      <c r="W28" s="18"/>
      <c r="X28" s="18">
        <f t="shared" si="7"/>
        <v>2.0125786163522017</v>
      </c>
      <c r="Y28" s="18"/>
      <c r="Z28" s="20">
        <f t="shared" si="8"/>
        <v>11.069182389937103</v>
      </c>
      <c r="AB28" s="20">
        <f t="shared" si="9"/>
        <v>6.0377358490566237</v>
      </c>
      <c r="AD28" s="20">
        <f t="shared" si="10"/>
        <v>4.0251572327044034</v>
      </c>
    </row>
    <row r="29" spans="1:30" x14ac:dyDescent="0.2">
      <c r="A29" s="18" t="s">
        <v>67</v>
      </c>
      <c r="B29" s="19">
        <v>2451</v>
      </c>
      <c r="C29" s="34">
        <v>99.413716814159272</v>
      </c>
      <c r="D29" s="34">
        <v>28.059322033898312</v>
      </c>
      <c r="E29" s="34">
        <v>130.27542372881339</v>
      </c>
      <c r="F29" s="34">
        <v>74.156779661016884</v>
      </c>
      <c r="G29" s="34">
        <v>3.0063559322033897</v>
      </c>
      <c r="H29" s="34">
        <v>8.0169491525423808</v>
      </c>
      <c r="I29" s="34">
        <v>0</v>
      </c>
      <c r="J29" s="34">
        <f t="shared" si="2"/>
        <v>342.92854732263362</v>
      </c>
      <c r="K29" s="34">
        <f t="shared" si="0"/>
        <v>92838.664745520888</v>
      </c>
      <c r="L29" s="34"/>
      <c r="M29" s="35">
        <f t="shared" si="1"/>
        <v>68932.414334077432</v>
      </c>
      <c r="N29" s="35"/>
      <c r="O29" s="36">
        <f t="shared" si="3"/>
        <v>161771.0790795983</v>
      </c>
      <c r="P29" s="36"/>
      <c r="Q29" s="36"/>
      <c r="R29" s="37">
        <f t="shared" si="4"/>
        <v>99.413716814159272</v>
      </c>
      <c r="S29" s="18"/>
      <c r="T29" s="18">
        <f t="shared" si="5"/>
        <v>28.059322033898312</v>
      </c>
      <c r="U29" s="18"/>
      <c r="V29" s="18">
        <f t="shared" si="6"/>
        <v>130.27542372881339</v>
      </c>
      <c r="W29" s="18"/>
      <c r="X29" s="18">
        <f t="shared" si="7"/>
        <v>74.156779661016884</v>
      </c>
      <c r="Y29" s="18"/>
      <c r="Z29" s="20">
        <f t="shared" si="8"/>
        <v>3.0063559322033897</v>
      </c>
      <c r="AB29" s="20">
        <f t="shared" si="9"/>
        <v>8.0169491525423808</v>
      </c>
      <c r="AD29" s="20">
        <f t="shared" si="10"/>
        <v>0</v>
      </c>
    </row>
    <row r="30" spans="1:30" x14ac:dyDescent="0.2">
      <c r="A30" s="18" t="s">
        <v>68</v>
      </c>
      <c r="B30" s="19">
        <v>2409</v>
      </c>
      <c r="C30" s="34">
        <v>177.49026548672563</v>
      </c>
      <c r="D30" s="34">
        <v>3.0164233576642361</v>
      </c>
      <c r="E30" s="34">
        <v>71.388686131386621</v>
      </c>
      <c r="F30" s="34">
        <v>285.55474452554756</v>
      </c>
      <c r="G30" s="34">
        <v>26.142335766423383</v>
      </c>
      <c r="H30" s="34">
        <v>10.054744525547472</v>
      </c>
      <c r="I30" s="34">
        <v>2.0109489051094886</v>
      </c>
      <c r="J30" s="34">
        <f t="shared" si="2"/>
        <v>575.65814869840426</v>
      </c>
      <c r="K30" s="34">
        <f t="shared" si="0"/>
        <v>165751.36491394817</v>
      </c>
      <c r="L30" s="34"/>
      <c r="M30" s="35">
        <f t="shared" si="1"/>
        <v>141341.98774311313</v>
      </c>
      <c r="N30" s="35"/>
      <c r="O30" s="36">
        <f t="shared" si="3"/>
        <v>307093.3526570613</v>
      </c>
      <c r="P30" s="36"/>
      <c r="Q30" s="36"/>
      <c r="R30" s="37">
        <f t="shared" si="4"/>
        <v>177.49026548672563</v>
      </c>
      <c r="S30" s="18"/>
      <c r="T30" s="18">
        <f t="shared" si="5"/>
        <v>3.0164233576642361</v>
      </c>
      <c r="U30" s="18"/>
      <c r="V30" s="18">
        <f t="shared" si="6"/>
        <v>71.388686131386621</v>
      </c>
      <c r="W30" s="18"/>
      <c r="X30" s="18">
        <f t="shared" si="7"/>
        <v>285.55474452554756</v>
      </c>
      <c r="Y30" s="18"/>
      <c r="Z30" s="20">
        <f t="shared" si="8"/>
        <v>26.142335766423383</v>
      </c>
      <c r="AB30" s="20">
        <f t="shared" si="9"/>
        <v>10.054744525547472</v>
      </c>
      <c r="AD30" s="20">
        <f t="shared" si="10"/>
        <v>2.0109489051094886</v>
      </c>
    </row>
    <row r="31" spans="1:30" x14ac:dyDescent="0.2">
      <c r="A31" s="18" t="s">
        <v>159</v>
      </c>
      <c r="B31" s="19">
        <v>3158</v>
      </c>
      <c r="C31" s="34">
        <v>30.478991596638643</v>
      </c>
      <c r="D31" s="34">
        <v>0</v>
      </c>
      <c r="E31" s="34">
        <v>82.000000000000014</v>
      </c>
      <c r="F31" s="34">
        <v>14.999999999999975</v>
      </c>
      <c r="G31" s="34">
        <v>18.000000000000018</v>
      </c>
      <c r="H31" s="34">
        <v>1.0000000000000002</v>
      </c>
      <c r="I31" s="34">
        <v>0</v>
      </c>
      <c r="J31" s="34">
        <f t="shared" si="2"/>
        <v>146.47899159663865</v>
      </c>
      <c r="K31" s="34">
        <f t="shared" si="0"/>
        <v>28463.163568378583</v>
      </c>
      <c r="L31" s="34"/>
      <c r="M31" s="35">
        <f t="shared" si="1"/>
        <v>33918.941219869012</v>
      </c>
      <c r="N31" s="35"/>
      <c r="O31" s="36">
        <f t="shared" si="3"/>
        <v>62382.104788247598</v>
      </c>
      <c r="P31" s="36"/>
      <c r="Q31" s="36"/>
      <c r="R31" s="37">
        <f t="shared" si="4"/>
        <v>30.478991596638643</v>
      </c>
      <c r="S31" s="18"/>
      <c r="T31" s="18">
        <f t="shared" si="5"/>
        <v>0</v>
      </c>
      <c r="U31" s="18"/>
      <c r="V31" s="18">
        <f t="shared" si="6"/>
        <v>82.000000000000014</v>
      </c>
      <c r="W31" s="18"/>
      <c r="X31" s="18">
        <f t="shared" si="7"/>
        <v>14.999999999999975</v>
      </c>
      <c r="Y31" s="18"/>
      <c r="Z31" s="20">
        <f t="shared" si="8"/>
        <v>18.000000000000018</v>
      </c>
      <c r="AB31" s="20">
        <f t="shared" si="9"/>
        <v>1.0000000000000002</v>
      </c>
      <c r="AD31" s="20">
        <f t="shared" si="10"/>
        <v>0</v>
      </c>
    </row>
    <row r="32" spans="1:30" x14ac:dyDescent="0.2">
      <c r="A32" s="18" t="s">
        <v>69</v>
      </c>
      <c r="B32" s="19">
        <v>2619</v>
      </c>
      <c r="C32" s="34">
        <v>134.48901098901098</v>
      </c>
      <c r="D32" s="34">
        <v>4.0202020202020199</v>
      </c>
      <c r="E32" s="34">
        <v>5.0252525252525349</v>
      </c>
      <c r="F32" s="34">
        <v>41.207070707070692</v>
      </c>
      <c r="G32" s="34">
        <v>1.005050505050505</v>
      </c>
      <c r="H32" s="34">
        <v>147.74242424242416</v>
      </c>
      <c r="I32" s="34">
        <v>0</v>
      </c>
      <c r="J32" s="34">
        <f t="shared" si="2"/>
        <v>333.48901098901092</v>
      </c>
      <c r="K32" s="34">
        <f t="shared" si="0"/>
        <v>125594.13935308316</v>
      </c>
      <c r="L32" s="34"/>
      <c r="M32" s="35">
        <f t="shared" si="1"/>
        <v>155432.02379846032</v>
      </c>
      <c r="N32" s="35"/>
      <c r="O32" s="36">
        <f t="shared" si="3"/>
        <v>281026.16315154347</v>
      </c>
      <c r="P32" s="36"/>
      <c r="Q32" s="36"/>
      <c r="R32" s="37">
        <f t="shared" si="4"/>
        <v>134.48901098901098</v>
      </c>
      <c r="S32" s="18"/>
      <c r="T32" s="18">
        <f t="shared" si="5"/>
        <v>4.0202020202020199</v>
      </c>
      <c r="U32" s="18"/>
      <c r="V32" s="18">
        <f t="shared" si="6"/>
        <v>5.0252525252525349</v>
      </c>
      <c r="W32" s="18"/>
      <c r="X32" s="18">
        <f t="shared" si="7"/>
        <v>41.207070707070692</v>
      </c>
      <c r="Y32" s="18"/>
      <c r="Z32" s="20">
        <f t="shared" si="8"/>
        <v>1.005050505050505</v>
      </c>
      <c r="AB32" s="20">
        <f t="shared" si="9"/>
        <v>147.74242424242416</v>
      </c>
      <c r="AD32" s="20">
        <f t="shared" si="10"/>
        <v>0</v>
      </c>
    </row>
    <row r="33" spans="1:30" x14ac:dyDescent="0.2">
      <c r="A33" s="18" t="s">
        <v>70</v>
      </c>
      <c r="B33" s="19">
        <v>2518</v>
      </c>
      <c r="C33" s="34">
        <v>153.55102040816323</v>
      </c>
      <c r="D33" s="34">
        <v>1.0033783783783787</v>
      </c>
      <c r="E33" s="34">
        <v>57.192567567567693</v>
      </c>
      <c r="F33" s="34">
        <v>147.49662162162173</v>
      </c>
      <c r="G33" s="34">
        <v>21.070945945945933</v>
      </c>
      <c r="H33" s="34">
        <v>52.17567567567577</v>
      </c>
      <c r="I33" s="34">
        <v>4.0135135135135096</v>
      </c>
      <c r="J33" s="34">
        <f t="shared" si="2"/>
        <v>436.50372311086625</v>
      </c>
      <c r="K33" s="34">
        <f t="shared" si="0"/>
        <v>143395.42028847802</v>
      </c>
      <c r="L33" s="34"/>
      <c r="M33" s="35">
        <f t="shared" si="1"/>
        <v>128192.8759877449</v>
      </c>
      <c r="N33" s="35"/>
      <c r="O33" s="36">
        <f t="shared" si="3"/>
        <v>271588.29627622291</v>
      </c>
      <c r="P33" s="36"/>
      <c r="Q33" s="36"/>
      <c r="R33" s="37">
        <f t="shared" si="4"/>
        <v>153.55102040816323</v>
      </c>
      <c r="S33" s="18"/>
      <c r="T33" s="18">
        <f t="shared" si="5"/>
        <v>1.0033783783783787</v>
      </c>
      <c r="U33" s="18"/>
      <c r="V33" s="18">
        <f t="shared" si="6"/>
        <v>57.192567567567693</v>
      </c>
      <c r="W33" s="18"/>
      <c r="X33" s="18">
        <f t="shared" si="7"/>
        <v>147.49662162162173</v>
      </c>
      <c r="Y33" s="18"/>
      <c r="Z33" s="20">
        <f t="shared" si="8"/>
        <v>21.070945945945933</v>
      </c>
      <c r="AB33" s="20">
        <f t="shared" si="9"/>
        <v>52.17567567567577</v>
      </c>
      <c r="AD33" s="20">
        <f t="shared" si="10"/>
        <v>4.0135135135135096</v>
      </c>
    </row>
    <row r="34" spans="1:30" x14ac:dyDescent="0.2">
      <c r="A34" s="18" t="s">
        <v>71</v>
      </c>
      <c r="B34" s="19">
        <v>2457</v>
      </c>
      <c r="C34" s="34">
        <v>95.87464387464388</v>
      </c>
      <c r="D34" s="34">
        <v>23.129213483146064</v>
      </c>
      <c r="E34" s="34">
        <v>1.0056179775280885</v>
      </c>
      <c r="F34" s="34">
        <v>82.460674157303231</v>
      </c>
      <c r="G34" s="34">
        <v>22.123595505617988</v>
      </c>
      <c r="H34" s="34">
        <v>6.0337078651685525</v>
      </c>
      <c r="I34" s="34">
        <v>11.061797752808994</v>
      </c>
      <c r="J34" s="34">
        <f t="shared" si="2"/>
        <v>241.68925061621681</v>
      </c>
      <c r="K34" s="34">
        <f t="shared" si="0"/>
        <v>89533.659996972769</v>
      </c>
      <c r="L34" s="34"/>
      <c r="M34" s="35">
        <f t="shared" si="1"/>
        <v>58457.839508323348</v>
      </c>
      <c r="N34" s="35"/>
      <c r="O34" s="36">
        <f t="shared" si="3"/>
        <v>147991.49950529612</v>
      </c>
      <c r="P34" s="36"/>
      <c r="Q34" s="36"/>
      <c r="R34" s="37">
        <f t="shared" si="4"/>
        <v>95.87464387464388</v>
      </c>
      <c r="S34" s="18"/>
      <c r="T34" s="18">
        <f t="shared" si="5"/>
        <v>23.129213483146064</v>
      </c>
      <c r="U34" s="18"/>
      <c r="V34" s="18">
        <f t="shared" si="6"/>
        <v>1.0056179775280885</v>
      </c>
      <c r="W34" s="18"/>
      <c r="X34" s="18">
        <f t="shared" si="7"/>
        <v>82.460674157303231</v>
      </c>
      <c r="Y34" s="18"/>
      <c r="Z34" s="20">
        <f t="shared" si="8"/>
        <v>22.123595505617988</v>
      </c>
      <c r="AB34" s="20">
        <f t="shared" si="9"/>
        <v>6.0337078651685525</v>
      </c>
      <c r="AD34" s="20">
        <f t="shared" si="10"/>
        <v>11.061797752808994</v>
      </c>
    </row>
    <row r="35" spans="1:30" x14ac:dyDescent="0.2">
      <c r="A35" s="18" t="s">
        <v>160</v>
      </c>
      <c r="B35" s="220">
        <v>2010</v>
      </c>
      <c r="C35" s="34">
        <v>106.85875706214689</v>
      </c>
      <c r="D35" s="34">
        <v>13.000000000000005</v>
      </c>
      <c r="E35" s="34">
        <v>2.9999999999999996</v>
      </c>
      <c r="F35" s="34">
        <v>76.999999999999957</v>
      </c>
      <c r="G35" s="34">
        <v>58.000000000000014</v>
      </c>
      <c r="H35" s="34">
        <v>4.0000000000000062</v>
      </c>
      <c r="I35" s="34">
        <v>24.000000000000075</v>
      </c>
      <c r="J35" s="34">
        <f t="shared" si="2"/>
        <v>285.85875706214694</v>
      </c>
      <c r="K35" s="34">
        <f t="shared" si="0"/>
        <v>99791.302849696352</v>
      </c>
      <c r="L35" s="34"/>
      <c r="M35" s="35">
        <f t="shared" si="1"/>
        <v>82907.811541994044</v>
      </c>
      <c r="N35" s="35"/>
      <c r="O35" s="36">
        <f t="shared" si="3"/>
        <v>182699.11439169041</v>
      </c>
      <c r="P35" s="36"/>
      <c r="Q35" s="36"/>
      <c r="R35" s="37">
        <f t="shared" si="4"/>
        <v>106.85875706214689</v>
      </c>
      <c r="S35" s="18"/>
      <c r="T35" s="18">
        <f t="shared" si="5"/>
        <v>13.000000000000005</v>
      </c>
      <c r="U35" s="18"/>
      <c r="V35" s="18">
        <f t="shared" si="6"/>
        <v>2.9999999999999996</v>
      </c>
      <c r="W35" s="18"/>
      <c r="X35" s="18">
        <f t="shared" si="7"/>
        <v>76.999999999999957</v>
      </c>
      <c r="Y35" s="18"/>
      <c r="Z35" s="20">
        <f t="shared" si="8"/>
        <v>58.000000000000014</v>
      </c>
      <c r="AB35" s="20">
        <f t="shared" si="9"/>
        <v>4.0000000000000062</v>
      </c>
      <c r="AD35" s="20">
        <f t="shared" si="10"/>
        <v>24.000000000000075</v>
      </c>
    </row>
    <row r="36" spans="1:30" x14ac:dyDescent="0.2">
      <c r="A36" s="18" t="s">
        <v>73</v>
      </c>
      <c r="B36" s="19">
        <v>2002</v>
      </c>
      <c r="C36" s="34">
        <v>40.808411214953267</v>
      </c>
      <c r="D36" s="34">
        <v>97.919431279620738</v>
      </c>
      <c r="E36" s="34">
        <v>0</v>
      </c>
      <c r="F36" s="34">
        <v>6.0568720379146983</v>
      </c>
      <c r="G36" s="34">
        <v>0</v>
      </c>
      <c r="H36" s="34">
        <v>0</v>
      </c>
      <c r="I36" s="34">
        <v>0</v>
      </c>
      <c r="J36" s="34">
        <f t="shared" si="2"/>
        <v>144.78471453248872</v>
      </c>
      <c r="K36" s="34">
        <f t="shared" si="0"/>
        <v>38109.413157388357</v>
      </c>
      <c r="L36" s="34"/>
      <c r="M36" s="35">
        <f t="shared" si="1"/>
        <v>13621.123813359602</v>
      </c>
      <c r="N36" s="35"/>
      <c r="O36" s="36">
        <f t="shared" si="3"/>
        <v>51730.536970747955</v>
      </c>
      <c r="P36" s="36"/>
      <c r="Q36" s="36"/>
      <c r="R36" s="37">
        <f t="shared" si="4"/>
        <v>40.808411214953267</v>
      </c>
      <c r="S36" s="18"/>
      <c r="T36" s="18">
        <f t="shared" si="5"/>
        <v>97.919431279620738</v>
      </c>
      <c r="U36" s="18"/>
      <c r="V36" s="18">
        <f t="shared" si="6"/>
        <v>0</v>
      </c>
      <c r="W36" s="18"/>
      <c r="X36" s="18">
        <f t="shared" si="7"/>
        <v>6.0568720379146983</v>
      </c>
      <c r="Y36" s="18"/>
      <c r="Z36" s="20">
        <f t="shared" si="8"/>
        <v>0</v>
      </c>
      <c r="AB36" s="20">
        <f t="shared" si="9"/>
        <v>0</v>
      </c>
      <c r="AD36" s="20">
        <f t="shared" si="10"/>
        <v>0</v>
      </c>
    </row>
    <row r="37" spans="1:30" x14ac:dyDescent="0.2">
      <c r="A37" s="18" t="s">
        <v>74</v>
      </c>
      <c r="B37" s="19">
        <v>3544</v>
      </c>
      <c r="C37" s="34">
        <v>224.16512059369188</v>
      </c>
      <c r="D37" s="34">
        <v>1</v>
      </c>
      <c r="E37" s="34">
        <v>103.00000000000003</v>
      </c>
      <c r="F37" s="34">
        <v>232.00000000000011</v>
      </c>
      <c r="G37" s="34">
        <v>81.000000000000199</v>
      </c>
      <c r="H37" s="34">
        <v>92.000000000000114</v>
      </c>
      <c r="I37" s="34">
        <v>8</v>
      </c>
      <c r="J37" s="34">
        <f t="shared" si="2"/>
        <v>741.16512059369234</v>
      </c>
      <c r="K37" s="34">
        <f t="shared" si="0"/>
        <v>209339.22546463861</v>
      </c>
      <c r="L37" s="34"/>
      <c r="M37" s="35">
        <f t="shared" si="1"/>
        <v>238021.74132501776</v>
      </c>
      <c r="N37" s="35"/>
      <c r="O37" s="36">
        <f t="shared" si="3"/>
        <v>447360.96678965638</v>
      </c>
      <c r="P37" s="36"/>
      <c r="Q37" s="36"/>
      <c r="R37" s="37">
        <f t="shared" si="4"/>
        <v>224.16512059369188</v>
      </c>
      <c r="S37" s="18"/>
      <c r="T37" s="18">
        <f t="shared" si="5"/>
        <v>1</v>
      </c>
      <c r="U37" s="18"/>
      <c r="V37" s="18">
        <f t="shared" si="6"/>
        <v>103.00000000000003</v>
      </c>
      <c r="W37" s="18"/>
      <c r="X37" s="18">
        <f t="shared" si="7"/>
        <v>232.00000000000011</v>
      </c>
      <c r="Y37" s="18"/>
      <c r="Z37" s="20">
        <f t="shared" si="8"/>
        <v>81.000000000000199</v>
      </c>
      <c r="AB37" s="20">
        <f t="shared" si="9"/>
        <v>92.000000000000114</v>
      </c>
      <c r="AD37" s="20">
        <f t="shared" si="10"/>
        <v>8</v>
      </c>
    </row>
    <row r="38" spans="1:30" ht="10.5" customHeight="1" x14ac:dyDescent="0.2">
      <c r="A38" s="18" t="s">
        <v>161</v>
      </c>
      <c r="B38" s="19">
        <v>2006</v>
      </c>
      <c r="C38" s="34">
        <v>13.666666666666666</v>
      </c>
      <c r="D38" s="34">
        <v>0</v>
      </c>
      <c r="E38" s="34">
        <v>3.0122448979591905</v>
      </c>
      <c r="F38" s="34">
        <v>2.0081632653061225</v>
      </c>
      <c r="G38" s="34">
        <v>0</v>
      </c>
      <c r="H38" s="34">
        <v>0</v>
      </c>
      <c r="I38" s="34">
        <v>0</v>
      </c>
      <c r="J38" s="34">
        <f t="shared" si="2"/>
        <v>18.68707482993198</v>
      </c>
      <c r="K38" s="34">
        <f t="shared" ref="K38:K69" si="11">C$1*C38</f>
        <v>12762.776863350717</v>
      </c>
      <c r="L38" s="34"/>
      <c r="M38" s="35">
        <f t="shared" ref="M38:M69" si="12">D$1*D38+E$1*E38+F$1*F38+G$1*G38+H$1*H38+I$1*I38</f>
        <v>1414.3959689304286</v>
      </c>
      <c r="N38" s="35"/>
      <c r="O38" s="36">
        <f t="shared" si="3"/>
        <v>14177.172832281145</v>
      </c>
      <c r="P38" s="36"/>
      <c r="Q38" s="36"/>
      <c r="R38" s="37">
        <f t="shared" si="4"/>
        <v>13.666666666666666</v>
      </c>
      <c r="S38" s="18"/>
      <c r="T38" s="18">
        <f t="shared" si="5"/>
        <v>0</v>
      </c>
      <c r="U38" s="18"/>
      <c r="V38" s="18">
        <f t="shared" si="6"/>
        <v>3.0122448979591905</v>
      </c>
      <c r="W38" s="18"/>
      <c r="X38" s="18">
        <f t="shared" si="7"/>
        <v>2.0081632653061225</v>
      </c>
      <c r="Y38" s="18"/>
      <c r="Z38" s="20">
        <f t="shared" si="8"/>
        <v>0</v>
      </c>
      <c r="AB38" s="20">
        <f t="shared" si="9"/>
        <v>0</v>
      </c>
      <c r="AD38" s="20">
        <f t="shared" si="10"/>
        <v>0</v>
      </c>
    </row>
    <row r="39" spans="1:30" x14ac:dyDescent="0.2">
      <c r="A39" s="18" t="s">
        <v>76</v>
      </c>
      <c r="B39" s="19">
        <v>2434</v>
      </c>
      <c r="C39" s="34">
        <v>215.49999999999997</v>
      </c>
      <c r="D39" s="34">
        <v>0.98627002288329479</v>
      </c>
      <c r="E39" s="34">
        <v>2.9588100686498842</v>
      </c>
      <c r="F39" s="34">
        <v>155.83066361556084</v>
      </c>
      <c r="G39" s="34">
        <v>207.11670480549191</v>
      </c>
      <c r="H39" s="34">
        <v>31.560640732265433</v>
      </c>
      <c r="I39" s="34">
        <v>11.835240274599537</v>
      </c>
      <c r="J39" s="34">
        <f t="shared" si="2"/>
        <v>625.78832951945083</v>
      </c>
      <c r="K39" s="34">
        <f t="shared" si="11"/>
        <v>201247.20102820094</v>
      </c>
      <c r="L39" s="34"/>
      <c r="M39" s="35">
        <f t="shared" si="12"/>
        <v>193769.51918803845</v>
      </c>
      <c r="N39" s="35"/>
      <c r="O39" s="36">
        <f t="shared" si="3"/>
        <v>395016.7202162394</v>
      </c>
      <c r="P39" s="36"/>
      <c r="Q39" s="36"/>
      <c r="R39" s="37">
        <f t="shared" si="4"/>
        <v>215.49999999999997</v>
      </c>
      <c r="S39" s="18"/>
      <c r="T39" s="18">
        <f t="shared" si="5"/>
        <v>0.98627002288329479</v>
      </c>
      <c r="U39" s="18"/>
      <c r="V39" s="18">
        <f t="shared" si="6"/>
        <v>2.9588100686498842</v>
      </c>
      <c r="W39" s="18"/>
      <c r="X39" s="18">
        <f t="shared" si="7"/>
        <v>155.83066361556084</v>
      </c>
      <c r="Y39" s="18"/>
      <c r="Z39" s="20">
        <f t="shared" si="8"/>
        <v>207.11670480549191</v>
      </c>
      <c r="AB39" s="20">
        <f t="shared" si="9"/>
        <v>31.560640732265433</v>
      </c>
      <c r="AD39" s="20">
        <f t="shared" si="10"/>
        <v>11.835240274599537</v>
      </c>
    </row>
    <row r="40" spans="1:30" x14ac:dyDescent="0.2">
      <c r="A40" s="18" t="s">
        <v>77</v>
      </c>
      <c r="B40" s="19">
        <v>2522</v>
      </c>
      <c r="C40" s="34">
        <v>32.313725490196077</v>
      </c>
      <c r="D40" s="34">
        <v>17</v>
      </c>
      <c r="E40" s="34">
        <v>19.999999999999979</v>
      </c>
      <c r="F40" s="34">
        <v>17.999999999999996</v>
      </c>
      <c r="G40" s="34">
        <v>9.0000000000000178</v>
      </c>
      <c r="H40" s="34">
        <v>1.999999999999998</v>
      </c>
      <c r="I40" s="34">
        <v>1.999999999999998</v>
      </c>
      <c r="J40" s="34">
        <f t="shared" si="2"/>
        <v>100.31372549019606</v>
      </c>
      <c r="K40" s="34">
        <f t="shared" si="11"/>
        <v>30176.551321093233</v>
      </c>
      <c r="L40" s="34"/>
      <c r="M40" s="35">
        <f t="shared" si="12"/>
        <v>21014.503783712513</v>
      </c>
      <c r="N40" s="35"/>
      <c r="O40" s="36">
        <f t="shared" si="3"/>
        <v>51191.055104805746</v>
      </c>
      <c r="P40" s="36"/>
      <c r="Q40" s="36"/>
      <c r="R40" s="37">
        <f t="shared" si="4"/>
        <v>32.313725490196077</v>
      </c>
      <c r="S40" s="18"/>
      <c r="T40" s="18">
        <f t="shared" si="5"/>
        <v>17</v>
      </c>
      <c r="U40" s="18"/>
      <c r="V40" s="18">
        <f t="shared" si="6"/>
        <v>19.999999999999979</v>
      </c>
      <c r="W40" s="18"/>
      <c r="X40" s="18">
        <f t="shared" si="7"/>
        <v>17.999999999999996</v>
      </c>
      <c r="Y40" s="18"/>
      <c r="Z40" s="20">
        <f t="shared" si="8"/>
        <v>9.0000000000000178</v>
      </c>
      <c r="AB40" s="20">
        <f t="shared" si="9"/>
        <v>1.999999999999998</v>
      </c>
      <c r="AD40" s="20">
        <f t="shared" si="10"/>
        <v>1.999999999999998</v>
      </c>
    </row>
    <row r="41" spans="1:30" x14ac:dyDescent="0.2">
      <c r="A41" s="18" t="s">
        <v>78</v>
      </c>
      <c r="B41" s="19">
        <v>2436</v>
      </c>
      <c r="C41" s="34">
        <v>47.175718849840244</v>
      </c>
      <c r="D41" s="34">
        <v>7.9504643962848167</v>
      </c>
      <c r="E41" s="34">
        <v>60.622291021671927</v>
      </c>
      <c r="F41" s="34">
        <v>50.684210526315709</v>
      </c>
      <c r="G41" s="34">
        <v>10.931888544891651</v>
      </c>
      <c r="H41" s="34">
        <v>2.9814241486068123</v>
      </c>
      <c r="I41" s="34">
        <v>0</v>
      </c>
      <c r="J41" s="34">
        <f t="shared" si="2"/>
        <v>180.34599748761113</v>
      </c>
      <c r="K41" s="34">
        <f t="shared" si="11"/>
        <v>44055.598027952154</v>
      </c>
      <c r="L41" s="34"/>
      <c r="M41" s="35">
        <f t="shared" si="12"/>
        <v>40951.915924410736</v>
      </c>
      <c r="N41" s="35"/>
      <c r="O41" s="36">
        <f t="shared" si="3"/>
        <v>85007.51395236289</v>
      </c>
      <c r="P41" s="36"/>
      <c r="Q41" s="36"/>
      <c r="R41" s="37">
        <f t="shared" si="4"/>
        <v>47.175718849840244</v>
      </c>
      <c r="S41" s="18"/>
      <c r="T41" s="18">
        <f t="shared" si="5"/>
        <v>7.9504643962848167</v>
      </c>
      <c r="U41" s="18"/>
      <c r="V41" s="18">
        <f t="shared" si="6"/>
        <v>60.622291021671927</v>
      </c>
      <c r="W41" s="18"/>
      <c r="X41" s="18">
        <f t="shared" si="7"/>
        <v>50.684210526315709</v>
      </c>
      <c r="Y41" s="18"/>
      <c r="Z41" s="20">
        <f t="shared" si="8"/>
        <v>10.931888544891651</v>
      </c>
      <c r="AB41" s="20">
        <f t="shared" si="9"/>
        <v>2.9814241486068123</v>
      </c>
      <c r="AD41" s="20">
        <f t="shared" si="10"/>
        <v>0</v>
      </c>
    </row>
    <row r="42" spans="1:30" x14ac:dyDescent="0.2">
      <c r="A42" s="18" t="s">
        <v>79</v>
      </c>
      <c r="B42" s="19">
        <v>2452</v>
      </c>
      <c r="C42" s="34">
        <v>72.39901477832511</v>
      </c>
      <c r="D42" s="34">
        <v>9.0878048780487717</v>
      </c>
      <c r="E42" s="34">
        <v>3.0292682926829237</v>
      </c>
      <c r="F42" s="34">
        <v>110.0634146341464</v>
      </c>
      <c r="G42" s="34">
        <v>3.0292682926829237</v>
      </c>
      <c r="H42" s="34">
        <v>10.097560975609767</v>
      </c>
      <c r="I42" s="34">
        <v>2.0195121951219512</v>
      </c>
      <c r="J42" s="34">
        <f t="shared" si="2"/>
        <v>209.72584404661788</v>
      </c>
      <c r="K42" s="34">
        <f t="shared" si="11"/>
        <v>67610.668590892281</v>
      </c>
      <c r="L42" s="34"/>
      <c r="M42" s="35">
        <f t="shared" si="12"/>
        <v>53367.059055733582</v>
      </c>
      <c r="N42" s="35"/>
      <c r="O42" s="36">
        <f t="shared" si="3"/>
        <v>120977.72764662586</v>
      </c>
      <c r="P42" s="36"/>
      <c r="Q42" s="36"/>
      <c r="R42" s="37">
        <f t="shared" si="4"/>
        <v>72.39901477832511</v>
      </c>
      <c r="S42" s="18"/>
      <c r="T42" s="18">
        <f t="shared" si="5"/>
        <v>9.0878048780487717</v>
      </c>
      <c r="U42" s="18"/>
      <c r="V42" s="18">
        <f t="shared" si="6"/>
        <v>3.0292682926829237</v>
      </c>
      <c r="W42" s="18"/>
      <c r="X42" s="18">
        <f t="shared" si="7"/>
        <v>110.0634146341464</v>
      </c>
      <c r="Y42" s="18"/>
      <c r="Z42" s="20">
        <f t="shared" si="8"/>
        <v>3.0292682926829237</v>
      </c>
      <c r="AB42" s="20">
        <f t="shared" si="9"/>
        <v>10.097560975609767</v>
      </c>
      <c r="AD42" s="20">
        <f t="shared" si="10"/>
        <v>2.0195121951219512</v>
      </c>
    </row>
    <row r="43" spans="1:30" x14ac:dyDescent="0.2">
      <c r="A43" s="18" t="s">
        <v>80</v>
      </c>
      <c r="B43" s="19">
        <v>2627</v>
      </c>
      <c r="C43" s="34">
        <v>32.759894459102902</v>
      </c>
      <c r="D43" s="34">
        <v>16.041343669250647</v>
      </c>
      <c r="E43" s="34">
        <v>13.033591731266162</v>
      </c>
      <c r="F43" s="34">
        <v>13.033591731266162</v>
      </c>
      <c r="G43" s="34">
        <v>3.0077519379844944</v>
      </c>
      <c r="H43" s="34">
        <v>0</v>
      </c>
      <c r="I43" s="34">
        <v>1.0025839793281635</v>
      </c>
      <c r="J43" s="34">
        <f t="shared" si="2"/>
        <v>78.878757508198532</v>
      </c>
      <c r="K43" s="34">
        <f t="shared" si="11"/>
        <v>30593.211442569507</v>
      </c>
      <c r="L43" s="34"/>
      <c r="M43" s="35">
        <f t="shared" si="12"/>
        <v>11887.182932601932</v>
      </c>
      <c r="N43" s="35"/>
      <c r="O43" s="36">
        <f t="shared" si="3"/>
        <v>42480.39437517144</v>
      </c>
      <c r="P43" s="36"/>
      <c r="Q43" s="36"/>
      <c r="R43" s="37">
        <f t="shared" si="4"/>
        <v>32.759894459102902</v>
      </c>
      <c r="S43" s="18"/>
      <c r="T43" s="18">
        <f t="shared" si="5"/>
        <v>16.041343669250647</v>
      </c>
      <c r="U43" s="18"/>
      <c r="V43" s="18">
        <f t="shared" si="6"/>
        <v>13.033591731266162</v>
      </c>
      <c r="W43" s="18"/>
      <c r="X43" s="18">
        <f t="shared" si="7"/>
        <v>13.033591731266162</v>
      </c>
      <c r="Y43" s="18"/>
      <c r="Z43" s="20">
        <f t="shared" si="8"/>
        <v>3.0077519379844944</v>
      </c>
      <c r="AB43" s="20">
        <f t="shared" si="9"/>
        <v>0</v>
      </c>
      <c r="AD43" s="20">
        <f t="shared" si="10"/>
        <v>1.0025839793281635</v>
      </c>
    </row>
    <row r="44" spans="1:30" x14ac:dyDescent="0.2">
      <c r="A44" s="18" t="s">
        <v>81</v>
      </c>
      <c r="B44" s="19">
        <v>2009</v>
      </c>
      <c r="C44" s="34">
        <v>147.53454545454539</v>
      </c>
      <c r="D44" s="34">
        <v>4.9999999999999982</v>
      </c>
      <c r="E44" s="34">
        <v>9.9999999999999964</v>
      </c>
      <c r="F44" s="34">
        <v>8.9999999999999964</v>
      </c>
      <c r="G44" s="34">
        <v>120.99999999999993</v>
      </c>
      <c r="H44" s="34">
        <v>50.99999999999995</v>
      </c>
      <c r="I44" s="34">
        <v>41.999999999999929</v>
      </c>
      <c r="J44" s="34">
        <f t="shared" si="2"/>
        <v>385.5345454545452</v>
      </c>
      <c r="K44" s="34">
        <f t="shared" si="11"/>
        <v>137776.86462967587</v>
      </c>
      <c r="L44" s="34"/>
      <c r="M44" s="35">
        <f t="shared" si="12"/>
        <v>150300.92812315142</v>
      </c>
      <c r="N44" s="35"/>
      <c r="O44" s="36">
        <f t="shared" si="3"/>
        <v>288077.79275282728</v>
      </c>
      <c r="P44" s="36"/>
      <c r="Q44" s="36"/>
      <c r="R44" s="37">
        <f t="shared" si="4"/>
        <v>147.53454545454539</v>
      </c>
      <c r="S44" s="18"/>
      <c r="T44" s="18">
        <f t="shared" si="5"/>
        <v>4.9999999999999982</v>
      </c>
      <c r="U44" s="18"/>
      <c r="V44" s="18">
        <f t="shared" si="6"/>
        <v>9.9999999999999964</v>
      </c>
      <c r="W44" s="18"/>
      <c r="X44" s="18">
        <f t="shared" si="7"/>
        <v>8.9999999999999964</v>
      </c>
      <c r="Y44" s="18"/>
      <c r="Z44" s="20">
        <f t="shared" si="8"/>
        <v>120.99999999999993</v>
      </c>
      <c r="AB44" s="20">
        <f t="shared" si="9"/>
        <v>50.99999999999995</v>
      </c>
      <c r="AD44" s="20">
        <f t="shared" si="10"/>
        <v>41.999999999999929</v>
      </c>
    </row>
    <row r="45" spans="1:30" x14ac:dyDescent="0.2">
      <c r="A45" s="18" t="s">
        <v>162</v>
      </c>
      <c r="B45" s="19">
        <v>2473</v>
      </c>
      <c r="C45" s="34">
        <v>88.338289962825286</v>
      </c>
      <c r="D45" s="34">
        <v>2.0150943396226402</v>
      </c>
      <c r="E45" s="34">
        <v>21.158490566037731</v>
      </c>
      <c r="F45" s="34">
        <v>47.35471698113215</v>
      </c>
      <c r="G45" s="34">
        <v>36.271698113207655</v>
      </c>
      <c r="H45" s="34">
        <v>64.483018867924486</v>
      </c>
      <c r="I45" s="34">
        <v>3.0226415094339538</v>
      </c>
      <c r="J45" s="34">
        <f t="shared" si="2"/>
        <v>262.64395034018395</v>
      </c>
      <c r="K45" s="34">
        <f t="shared" si="11"/>
        <v>82495.747557476599</v>
      </c>
      <c r="L45" s="34"/>
      <c r="M45" s="35">
        <f t="shared" si="12"/>
        <v>102338.87937027571</v>
      </c>
      <c r="N45" s="35"/>
      <c r="O45" s="36">
        <f t="shared" si="3"/>
        <v>184834.62692775231</v>
      </c>
      <c r="P45" s="36"/>
      <c r="Q45" s="36"/>
      <c r="R45" s="37">
        <f t="shared" si="4"/>
        <v>88.338289962825286</v>
      </c>
      <c r="S45" s="18"/>
      <c r="T45" s="18">
        <f t="shared" si="5"/>
        <v>2.0150943396226402</v>
      </c>
      <c r="U45" s="18"/>
      <c r="V45" s="18">
        <f t="shared" si="6"/>
        <v>21.158490566037731</v>
      </c>
      <c r="W45" s="18"/>
      <c r="X45" s="18">
        <f t="shared" si="7"/>
        <v>47.35471698113215</v>
      </c>
      <c r="Y45" s="18"/>
      <c r="Z45" s="20">
        <f t="shared" si="8"/>
        <v>36.271698113207655</v>
      </c>
      <c r="AB45" s="20">
        <f t="shared" si="9"/>
        <v>64.483018867924486</v>
      </c>
      <c r="AD45" s="20">
        <f t="shared" si="10"/>
        <v>3.0226415094339538</v>
      </c>
    </row>
    <row r="46" spans="1:30" x14ac:dyDescent="0.2">
      <c r="A46" s="18" t="s">
        <v>84</v>
      </c>
      <c r="B46" s="19">
        <v>2471</v>
      </c>
      <c r="C46" s="34">
        <v>149.13793103448276</v>
      </c>
      <c r="D46" s="34">
        <v>8.0231884057971197</v>
      </c>
      <c r="E46" s="34">
        <v>26.075362318840575</v>
      </c>
      <c r="F46" s="34">
        <v>53.15362318840576</v>
      </c>
      <c r="G46" s="34">
        <v>37.107246376811524</v>
      </c>
      <c r="H46" s="34">
        <v>67.194202898550856</v>
      </c>
      <c r="I46" s="34">
        <v>5.0144927536231867</v>
      </c>
      <c r="J46" s="34">
        <f t="shared" si="2"/>
        <v>345.7060469765118</v>
      </c>
      <c r="K46" s="34">
        <f t="shared" si="11"/>
        <v>139274.20504791889</v>
      </c>
      <c r="L46" s="34"/>
      <c r="M46" s="35">
        <f t="shared" si="12"/>
        <v>111051.21118248363</v>
      </c>
      <c r="N46" s="35"/>
      <c r="O46" s="36">
        <f t="shared" si="3"/>
        <v>250325.41623040254</v>
      </c>
      <c r="P46" s="36"/>
      <c r="Q46" s="36"/>
      <c r="R46" s="37">
        <f t="shared" si="4"/>
        <v>149.13793103448276</v>
      </c>
      <c r="S46" s="18"/>
      <c r="T46" s="18">
        <f t="shared" si="5"/>
        <v>8.0231884057971197</v>
      </c>
      <c r="U46" s="18"/>
      <c r="V46" s="18">
        <f t="shared" si="6"/>
        <v>26.075362318840575</v>
      </c>
      <c r="W46" s="18"/>
      <c r="X46" s="18">
        <f t="shared" si="7"/>
        <v>53.15362318840576</v>
      </c>
      <c r="Y46" s="18"/>
      <c r="Z46" s="20">
        <f t="shared" si="8"/>
        <v>37.107246376811524</v>
      </c>
      <c r="AB46" s="20">
        <f t="shared" si="9"/>
        <v>67.194202898550856</v>
      </c>
      <c r="AD46" s="20">
        <f t="shared" si="10"/>
        <v>5.0144927536231867</v>
      </c>
    </row>
    <row r="47" spans="1:30" x14ac:dyDescent="0.2">
      <c r="A47" s="18" t="s">
        <v>82</v>
      </c>
      <c r="B47" s="19">
        <v>2420</v>
      </c>
      <c r="C47" s="34">
        <v>304.23413566739606</v>
      </c>
      <c r="D47" s="34">
        <v>0</v>
      </c>
      <c r="E47" s="34">
        <v>4.0000000000000009</v>
      </c>
      <c r="F47" s="34">
        <v>46</v>
      </c>
      <c r="G47" s="34">
        <v>32.000000000000014</v>
      </c>
      <c r="H47" s="34">
        <v>79.000000000000199</v>
      </c>
      <c r="I47" s="34">
        <v>297.00000000000011</v>
      </c>
      <c r="J47" s="34">
        <f t="shared" si="2"/>
        <v>762.23413566739634</v>
      </c>
      <c r="K47" s="34">
        <f t="shared" si="11"/>
        <v>284112.61373687896</v>
      </c>
      <c r="L47" s="34"/>
      <c r="M47" s="35">
        <f t="shared" si="12"/>
        <v>385391.06058940722</v>
      </c>
      <c r="N47" s="35"/>
      <c r="O47" s="36">
        <f t="shared" si="3"/>
        <v>669503.67432628619</v>
      </c>
      <c r="P47" s="36"/>
      <c r="Q47" s="36"/>
      <c r="R47" s="37">
        <f t="shared" si="4"/>
        <v>304.23413566739606</v>
      </c>
      <c r="S47" s="18"/>
      <c r="T47" s="18">
        <f t="shared" si="5"/>
        <v>0</v>
      </c>
      <c r="U47" s="18"/>
      <c r="V47" s="18">
        <f t="shared" si="6"/>
        <v>4.0000000000000009</v>
      </c>
      <c r="W47" s="18"/>
      <c r="X47" s="18">
        <f t="shared" si="7"/>
        <v>46</v>
      </c>
      <c r="Y47" s="18"/>
      <c r="Z47" s="20">
        <f t="shared" si="8"/>
        <v>32.000000000000014</v>
      </c>
      <c r="AB47" s="20">
        <f t="shared" si="9"/>
        <v>79.000000000000199</v>
      </c>
      <c r="AD47" s="20">
        <f t="shared" si="10"/>
        <v>297.00000000000011</v>
      </c>
    </row>
    <row r="48" spans="1:30" x14ac:dyDescent="0.2">
      <c r="A48" s="18" t="s">
        <v>85</v>
      </c>
      <c r="B48" s="19">
        <v>2003</v>
      </c>
      <c r="C48" s="34">
        <v>13.671361502347416</v>
      </c>
      <c r="D48" s="34">
        <v>5.9999999999999902</v>
      </c>
      <c r="E48" s="34">
        <v>0</v>
      </c>
      <c r="F48" s="34">
        <v>0</v>
      </c>
      <c r="G48" s="34">
        <v>0</v>
      </c>
      <c r="H48" s="34">
        <v>0</v>
      </c>
      <c r="I48" s="34">
        <v>0</v>
      </c>
      <c r="J48" s="34">
        <f t="shared" si="2"/>
        <v>19.671361502347406</v>
      </c>
      <c r="K48" s="34">
        <f t="shared" si="11"/>
        <v>12767.161190682682</v>
      </c>
      <c r="L48" s="34"/>
      <c r="M48" s="35">
        <f t="shared" si="12"/>
        <v>703.85049286843832</v>
      </c>
      <c r="N48" s="35"/>
      <c r="O48" s="36">
        <f t="shared" si="3"/>
        <v>13471.01168355112</v>
      </c>
      <c r="P48" s="36"/>
      <c r="Q48" s="36"/>
      <c r="R48" s="37">
        <f t="shared" si="4"/>
        <v>13.671361502347416</v>
      </c>
      <c r="S48" s="18"/>
      <c r="T48" s="18">
        <f t="shared" si="5"/>
        <v>5.9999999999999902</v>
      </c>
      <c r="U48" s="18"/>
      <c r="V48" s="18">
        <f t="shared" si="6"/>
        <v>0</v>
      </c>
      <c r="W48" s="18"/>
      <c r="X48" s="18">
        <f t="shared" si="7"/>
        <v>0</v>
      </c>
      <c r="Y48" s="18"/>
      <c r="Z48" s="20">
        <f t="shared" si="8"/>
        <v>0</v>
      </c>
      <c r="AB48" s="20">
        <f t="shared" si="9"/>
        <v>0</v>
      </c>
      <c r="AD48" s="20">
        <f t="shared" si="10"/>
        <v>0</v>
      </c>
    </row>
    <row r="49" spans="1:30" x14ac:dyDescent="0.2">
      <c r="A49" s="18" t="s">
        <v>86</v>
      </c>
      <c r="B49" s="19">
        <v>2423</v>
      </c>
      <c r="C49" s="34">
        <v>209</v>
      </c>
      <c r="D49" s="34">
        <v>1.0028011204481786</v>
      </c>
      <c r="E49" s="34">
        <v>19.05322128851542</v>
      </c>
      <c r="F49" s="34">
        <v>165.46218487394964</v>
      </c>
      <c r="G49" s="34">
        <v>102.28571428571438</v>
      </c>
      <c r="H49" s="34">
        <v>52.145658263305279</v>
      </c>
      <c r="I49" s="34">
        <v>14.03921568627451</v>
      </c>
      <c r="J49" s="34">
        <f t="shared" si="2"/>
        <v>562.98879551820733</v>
      </c>
      <c r="K49" s="34">
        <f t="shared" si="11"/>
        <v>195177.09983709513</v>
      </c>
      <c r="L49" s="34"/>
      <c r="M49" s="35">
        <f t="shared" si="12"/>
        <v>173111.07594126111</v>
      </c>
      <c r="N49" s="35"/>
      <c r="O49" s="36">
        <f t="shared" si="3"/>
        <v>368288.17577835626</v>
      </c>
      <c r="P49" s="36"/>
      <c r="Q49" s="36"/>
      <c r="R49" s="37">
        <f t="shared" si="4"/>
        <v>209</v>
      </c>
      <c r="S49" s="18"/>
      <c r="T49" s="18">
        <f t="shared" si="5"/>
        <v>1.0028011204481786</v>
      </c>
      <c r="U49" s="18"/>
      <c r="V49" s="18">
        <f t="shared" si="6"/>
        <v>19.05322128851542</v>
      </c>
      <c r="W49" s="18"/>
      <c r="X49" s="18">
        <f t="shared" si="7"/>
        <v>165.46218487394964</v>
      </c>
      <c r="Y49" s="18"/>
      <c r="Z49" s="20">
        <f t="shared" si="8"/>
        <v>102.28571428571438</v>
      </c>
      <c r="AB49" s="20">
        <f t="shared" si="9"/>
        <v>52.145658263305279</v>
      </c>
      <c r="AD49" s="20">
        <f t="shared" si="10"/>
        <v>14.03921568627451</v>
      </c>
    </row>
    <row r="50" spans="1:30" x14ac:dyDescent="0.2">
      <c r="A50" s="18" t="s">
        <v>87</v>
      </c>
      <c r="B50" s="19">
        <v>2424</v>
      </c>
      <c r="C50" s="34">
        <v>126.57777777777775</v>
      </c>
      <c r="D50" s="34">
        <v>3.0000000000000062</v>
      </c>
      <c r="E50" s="34">
        <v>6.0000000000000124</v>
      </c>
      <c r="F50" s="34">
        <v>122.00000000000003</v>
      </c>
      <c r="G50" s="34">
        <v>98.000000000000085</v>
      </c>
      <c r="H50" s="34">
        <v>29.000000000000046</v>
      </c>
      <c r="I50" s="34">
        <v>7.0000000000000071</v>
      </c>
      <c r="J50" s="34">
        <f t="shared" si="2"/>
        <v>391.57777777777795</v>
      </c>
      <c r="K50" s="34">
        <f t="shared" si="11"/>
        <v>118206.14148560273</v>
      </c>
      <c r="L50" s="34"/>
      <c r="M50" s="35">
        <f t="shared" si="12"/>
        <v>124598.82342418694</v>
      </c>
      <c r="N50" s="35"/>
      <c r="O50" s="36">
        <f t="shared" si="3"/>
        <v>242804.96490978968</v>
      </c>
      <c r="P50" s="36"/>
      <c r="Q50" s="36"/>
      <c r="R50" s="37">
        <f t="shared" si="4"/>
        <v>126.57777777777775</v>
      </c>
      <c r="S50" s="18"/>
      <c r="T50" s="18">
        <f t="shared" si="5"/>
        <v>3.0000000000000062</v>
      </c>
      <c r="U50" s="18"/>
      <c r="V50" s="18">
        <f t="shared" si="6"/>
        <v>6.0000000000000124</v>
      </c>
      <c r="W50" s="18"/>
      <c r="X50" s="18">
        <f t="shared" si="7"/>
        <v>122.00000000000003</v>
      </c>
      <c r="Y50" s="18"/>
      <c r="Z50" s="20">
        <f t="shared" si="8"/>
        <v>98.000000000000085</v>
      </c>
      <c r="AB50" s="20">
        <f t="shared" si="9"/>
        <v>29.000000000000046</v>
      </c>
      <c r="AD50" s="20">
        <f t="shared" si="10"/>
        <v>7.0000000000000071</v>
      </c>
    </row>
    <row r="51" spans="1:30" x14ac:dyDescent="0.2">
      <c r="A51" s="18" t="s">
        <v>88</v>
      </c>
      <c r="B51" s="19">
        <v>2439</v>
      </c>
      <c r="C51" s="34">
        <v>18.15189873417722</v>
      </c>
      <c r="D51" s="34">
        <v>6.0000000000000115</v>
      </c>
      <c r="E51" s="34">
        <v>6.0000000000000115</v>
      </c>
      <c r="F51" s="34">
        <v>7.0000000000000018</v>
      </c>
      <c r="G51" s="34">
        <v>0.99999999999999944</v>
      </c>
      <c r="H51" s="34">
        <v>0</v>
      </c>
      <c r="I51" s="34">
        <v>0</v>
      </c>
      <c r="J51" s="34">
        <f t="shared" si="2"/>
        <v>38.151898734177244</v>
      </c>
      <c r="K51" s="34">
        <f t="shared" si="11"/>
        <v>16951.363404178697</v>
      </c>
      <c r="L51" s="34"/>
      <c r="M51" s="35">
        <f t="shared" si="12"/>
        <v>5047.991449191577</v>
      </c>
      <c r="N51" s="35"/>
      <c r="O51" s="36">
        <f t="shared" si="3"/>
        <v>21999.354853370274</v>
      </c>
      <c r="P51" s="36"/>
      <c r="Q51" s="36"/>
      <c r="R51" s="37">
        <f t="shared" si="4"/>
        <v>18.15189873417722</v>
      </c>
      <c r="S51" s="18"/>
      <c r="T51" s="18">
        <f t="shared" si="5"/>
        <v>6.0000000000000115</v>
      </c>
      <c r="U51" s="18"/>
      <c r="V51" s="18">
        <f t="shared" si="6"/>
        <v>6.0000000000000115</v>
      </c>
      <c r="W51" s="18"/>
      <c r="X51" s="18">
        <f t="shared" si="7"/>
        <v>7.0000000000000018</v>
      </c>
      <c r="Y51" s="18"/>
      <c r="Z51" s="20">
        <f t="shared" si="8"/>
        <v>0.99999999999999944</v>
      </c>
      <c r="AB51" s="20">
        <f t="shared" si="9"/>
        <v>0</v>
      </c>
      <c r="AD51" s="20">
        <f t="shared" si="10"/>
        <v>0</v>
      </c>
    </row>
    <row r="52" spans="1:30" x14ac:dyDescent="0.2">
      <c r="A52" s="18" t="s">
        <v>89</v>
      </c>
      <c r="B52" s="19">
        <v>2440</v>
      </c>
      <c r="C52" s="34">
        <v>32.110344827586204</v>
      </c>
      <c r="D52" s="34">
        <v>2.0068965517241377</v>
      </c>
      <c r="E52" s="34">
        <v>6.0206896551724158</v>
      </c>
      <c r="F52" s="34">
        <v>6.0206896551724158</v>
      </c>
      <c r="G52" s="34">
        <v>1.0034482758620702</v>
      </c>
      <c r="H52" s="34">
        <v>1.0034482758620702</v>
      </c>
      <c r="I52" s="34">
        <v>0</v>
      </c>
      <c r="J52" s="34">
        <f t="shared" si="2"/>
        <v>48.16551724137932</v>
      </c>
      <c r="K52" s="34">
        <f t="shared" si="11"/>
        <v>29986.621905346143</v>
      </c>
      <c r="L52" s="34"/>
      <c r="M52" s="35">
        <f t="shared" si="12"/>
        <v>5183.5812248864831</v>
      </c>
      <c r="N52" s="35"/>
      <c r="O52" s="36">
        <f t="shared" si="3"/>
        <v>35170.203130232629</v>
      </c>
      <c r="P52" s="36"/>
      <c r="Q52" s="36"/>
      <c r="R52" s="37">
        <f t="shared" si="4"/>
        <v>32.110344827586204</v>
      </c>
      <c r="S52" s="18"/>
      <c r="T52" s="18">
        <f t="shared" si="5"/>
        <v>2.0068965517241377</v>
      </c>
      <c r="U52" s="18"/>
      <c r="V52" s="18">
        <f t="shared" si="6"/>
        <v>6.0206896551724158</v>
      </c>
      <c r="W52" s="18"/>
      <c r="X52" s="18">
        <f t="shared" si="7"/>
        <v>6.0206896551724158</v>
      </c>
      <c r="Y52" s="18"/>
      <c r="Z52" s="20">
        <f t="shared" si="8"/>
        <v>1.0034482758620702</v>
      </c>
      <c r="AB52" s="20">
        <f t="shared" si="9"/>
        <v>1.0034482758620702</v>
      </c>
      <c r="AD52" s="20">
        <f t="shared" si="10"/>
        <v>0</v>
      </c>
    </row>
    <row r="53" spans="1:30" x14ac:dyDescent="0.2">
      <c r="A53" s="18" t="s">
        <v>163</v>
      </c>
      <c r="B53" s="19">
        <v>2462</v>
      </c>
      <c r="C53" s="34">
        <v>30.632911392405063</v>
      </c>
      <c r="D53" s="34">
        <v>8.0000000000000071</v>
      </c>
      <c r="E53" s="34">
        <v>15.000000000000005</v>
      </c>
      <c r="F53" s="34">
        <v>25.999999999999961</v>
      </c>
      <c r="G53" s="34">
        <v>2</v>
      </c>
      <c r="H53" s="34">
        <v>4.0000000000000036</v>
      </c>
      <c r="I53" s="34">
        <v>6.0000000000000062</v>
      </c>
      <c r="J53" s="34">
        <f t="shared" si="2"/>
        <v>91.632911392405035</v>
      </c>
      <c r="K53" s="34">
        <f t="shared" si="11"/>
        <v>28606.903373858047</v>
      </c>
      <c r="L53" s="34"/>
      <c r="M53" s="35">
        <f t="shared" si="12"/>
        <v>23953.198851380039</v>
      </c>
      <c r="N53" s="35"/>
      <c r="O53" s="36">
        <f t="shared" si="3"/>
        <v>52560.102225238086</v>
      </c>
      <c r="P53" s="36"/>
      <c r="Q53" s="36"/>
      <c r="R53" s="37">
        <f t="shared" si="4"/>
        <v>30.632911392405063</v>
      </c>
      <c r="S53" s="18"/>
      <c r="T53" s="18">
        <f t="shared" si="5"/>
        <v>8.0000000000000071</v>
      </c>
      <c r="U53" s="18"/>
      <c r="V53" s="18">
        <f t="shared" si="6"/>
        <v>15.000000000000005</v>
      </c>
      <c r="W53" s="18"/>
      <c r="X53" s="18">
        <f t="shared" si="7"/>
        <v>25.999999999999961</v>
      </c>
      <c r="Y53" s="18"/>
      <c r="Z53" s="20">
        <f t="shared" si="8"/>
        <v>2</v>
      </c>
      <c r="AB53" s="20">
        <f t="shared" si="9"/>
        <v>4.0000000000000036</v>
      </c>
      <c r="AD53" s="20">
        <f t="shared" si="10"/>
        <v>6.0000000000000062</v>
      </c>
    </row>
    <row r="54" spans="1:30" x14ac:dyDescent="0.2">
      <c r="A54" s="18" t="s">
        <v>91</v>
      </c>
      <c r="B54" s="19">
        <v>2463</v>
      </c>
      <c r="C54" s="34">
        <v>64</v>
      </c>
      <c r="D54" s="34">
        <v>11.106796116504848</v>
      </c>
      <c r="E54" s="34">
        <v>18.174757281553394</v>
      </c>
      <c r="F54" s="34">
        <v>21.203883495145636</v>
      </c>
      <c r="G54" s="34">
        <v>3.0291262135922334</v>
      </c>
      <c r="H54" s="34">
        <v>1.0097087378640786</v>
      </c>
      <c r="I54" s="34">
        <v>0</v>
      </c>
      <c r="J54" s="34">
        <f t="shared" si="2"/>
        <v>118.52427184466019</v>
      </c>
      <c r="K54" s="34">
        <f t="shared" si="11"/>
        <v>59767.150189349704</v>
      </c>
      <c r="L54" s="34"/>
      <c r="M54" s="35">
        <f t="shared" si="12"/>
        <v>15410.387626335625</v>
      </c>
      <c r="N54" s="35"/>
      <c r="O54" s="36">
        <f t="shared" si="3"/>
        <v>75177.537815685326</v>
      </c>
      <c r="P54" s="36"/>
      <c r="Q54" s="36"/>
      <c r="R54" s="37">
        <f t="shared" si="4"/>
        <v>64</v>
      </c>
      <c r="S54" s="18"/>
      <c r="T54" s="18">
        <f t="shared" si="5"/>
        <v>11.106796116504848</v>
      </c>
      <c r="U54" s="18"/>
      <c r="V54" s="18">
        <f t="shared" si="6"/>
        <v>18.174757281553394</v>
      </c>
      <c r="W54" s="18"/>
      <c r="X54" s="18">
        <f t="shared" si="7"/>
        <v>21.203883495145636</v>
      </c>
      <c r="Y54" s="18"/>
      <c r="Z54" s="20">
        <f t="shared" si="8"/>
        <v>3.0291262135922334</v>
      </c>
      <c r="AB54" s="20">
        <f t="shared" si="9"/>
        <v>1.0097087378640786</v>
      </c>
      <c r="AD54" s="20">
        <f t="shared" si="10"/>
        <v>0</v>
      </c>
    </row>
    <row r="55" spans="1:30" x14ac:dyDescent="0.2">
      <c r="A55" s="18" t="s">
        <v>92</v>
      </c>
      <c r="B55" s="19">
        <v>2505</v>
      </c>
      <c r="C55" s="34">
        <v>178.48617511520726</v>
      </c>
      <c r="D55" s="34">
        <v>98.302013422818646</v>
      </c>
      <c r="E55" s="34">
        <v>0</v>
      </c>
      <c r="F55" s="34">
        <v>178.36241610738267</v>
      </c>
      <c r="G55" s="34">
        <v>80.060402684563584</v>
      </c>
      <c r="H55" s="34">
        <v>4.053691275167786</v>
      </c>
      <c r="I55" s="34">
        <v>53.711409395972979</v>
      </c>
      <c r="J55" s="34">
        <f t="shared" si="2"/>
        <v>592.97610800111295</v>
      </c>
      <c r="K55" s="34">
        <f t="shared" si="11"/>
        <v>166681.4067942682</v>
      </c>
      <c r="L55" s="34"/>
      <c r="M55" s="35">
        <f t="shared" si="12"/>
        <v>166251.99059780035</v>
      </c>
      <c r="N55" s="35"/>
      <c r="O55" s="36">
        <f t="shared" si="3"/>
        <v>332933.39739206852</v>
      </c>
      <c r="P55" s="36"/>
      <c r="Q55" s="36"/>
      <c r="R55" s="37">
        <f t="shared" si="4"/>
        <v>178.48617511520726</v>
      </c>
      <c r="S55" s="18"/>
      <c r="T55" s="18">
        <f t="shared" si="5"/>
        <v>98.302013422818646</v>
      </c>
      <c r="U55" s="18"/>
      <c r="V55" s="18">
        <f t="shared" si="6"/>
        <v>0</v>
      </c>
      <c r="W55" s="18"/>
      <c r="X55" s="18">
        <f t="shared" si="7"/>
        <v>178.36241610738267</v>
      </c>
      <c r="Y55" s="18"/>
      <c r="Z55" s="20">
        <f t="shared" si="8"/>
        <v>80.060402684563584</v>
      </c>
      <c r="AB55" s="20">
        <f t="shared" si="9"/>
        <v>4.053691275167786</v>
      </c>
      <c r="AD55" s="20">
        <f t="shared" si="10"/>
        <v>53.711409395972979</v>
      </c>
    </row>
    <row r="56" spans="1:30" x14ac:dyDescent="0.2">
      <c r="A56" s="18" t="s">
        <v>93</v>
      </c>
      <c r="B56" s="19">
        <v>2000</v>
      </c>
      <c r="C56" s="34">
        <v>115.23809523809521</v>
      </c>
      <c r="D56" s="34">
        <v>81.471571906354555</v>
      </c>
      <c r="E56" s="34">
        <v>36.521739130434881</v>
      </c>
      <c r="F56" s="34">
        <v>132.04013377926421</v>
      </c>
      <c r="G56" s="34">
        <v>9.3645484949832749</v>
      </c>
      <c r="H56" s="34">
        <v>6.5551839464882962</v>
      </c>
      <c r="I56" s="34">
        <v>0.93645484949832758</v>
      </c>
      <c r="J56" s="34">
        <f t="shared" si="2"/>
        <v>382.12772734511879</v>
      </c>
      <c r="K56" s="34">
        <f t="shared" si="11"/>
        <v>107616.44602546596</v>
      </c>
      <c r="L56" s="34"/>
      <c r="M56" s="35">
        <f t="shared" si="12"/>
        <v>76091.264093907463</v>
      </c>
      <c r="N56" s="35"/>
      <c r="O56" s="36">
        <f t="shared" si="3"/>
        <v>183707.71011937343</v>
      </c>
      <c r="P56" s="36"/>
      <c r="Q56" s="36"/>
      <c r="R56" s="37">
        <f t="shared" si="4"/>
        <v>115.23809523809521</v>
      </c>
      <c r="S56" s="18"/>
      <c r="T56" s="18">
        <f t="shared" si="5"/>
        <v>81.471571906354555</v>
      </c>
      <c r="U56" s="18"/>
      <c r="V56" s="18">
        <f t="shared" si="6"/>
        <v>36.521739130434881</v>
      </c>
      <c r="W56" s="18"/>
      <c r="X56" s="18">
        <f t="shared" si="7"/>
        <v>132.04013377926421</v>
      </c>
      <c r="Y56" s="18"/>
      <c r="Z56" s="20">
        <f t="shared" si="8"/>
        <v>9.3645484949832749</v>
      </c>
      <c r="AB56" s="20">
        <f t="shared" si="9"/>
        <v>6.5551839464882962</v>
      </c>
      <c r="AD56" s="20">
        <f t="shared" si="10"/>
        <v>0.93645484949832758</v>
      </c>
    </row>
    <row r="57" spans="1:30" x14ac:dyDescent="0.2">
      <c r="A57" s="18" t="s">
        <v>94</v>
      </c>
      <c r="B57" s="19">
        <v>2458</v>
      </c>
      <c r="C57" s="34">
        <v>36.268656716417908</v>
      </c>
      <c r="D57" s="34">
        <v>18.000000000000007</v>
      </c>
      <c r="E57" s="34">
        <v>0</v>
      </c>
      <c r="F57" s="34">
        <v>76.999999999999943</v>
      </c>
      <c r="G57" s="34">
        <v>15.000000000000012</v>
      </c>
      <c r="H57" s="34">
        <v>3.999999999999996</v>
      </c>
      <c r="I57" s="34">
        <v>7.999999999999992</v>
      </c>
      <c r="J57" s="34">
        <f t="shared" si="2"/>
        <v>158.26865671641787</v>
      </c>
      <c r="K57" s="34">
        <f t="shared" si="11"/>
        <v>33869.910205251814</v>
      </c>
      <c r="L57" s="34"/>
      <c r="M57" s="35">
        <f t="shared" si="12"/>
        <v>47563.336722545333</v>
      </c>
      <c r="N57" s="35"/>
      <c r="O57" s="36">
        <f t="shared" si="3"/>
        <v>81433.246927797154</v>
      </c>
      <c r="P57" s="36"/>
      <c r="Q57" s="36"/>
      <c r="R57" s="37">
        <f t="shared" si="4"/>
        <v>36.268656716417908</v>
      </c>
      <c r="S57" s="18"/>
      <c r="T57" s="18">
        <f t="shared" si="5"/>
        <v>18.000000000000007</v>
      </c>
      <c r="U57" s="18"/>
      <c r="V57" s="18">
        <f t="shared" si="6"/>
        <v>0</v>
      </c>
      <c r="W57" s="18"/>
      <c r="X57" s="18">
        <f t="shared" si="7"/>
        <v>76.999999999999943</v>
      </c>
      <c r="Y57" s="18"/>
      <c r="Z57" s="20">
        <f t="shared" si="8"/>
        <v>15.000000000000012</v>
      </c>
      <c r="AB57" s="20">
        <f t="shared" si="9"/>
        <v>3.999999999999996</v>
      </c>
      <c r="AD57" s="20">
        <f t="shared" si="10"/>
        <v>7.999999999999992</v>
      </c>
    </row>
    <row r="58" spans="1:30" x14ac:dyDescent="0.2">
      <c r="A58" s="18" t="s">
        <v>95</v>
      </c>
      <c r="B58" s="19">
        <v>2001</v>
      </c>
      <c r="C58" s="34">
        <v>214.93506493506479</v>
      </c>
      <c r="D58" s="34">
        <v>42.015479876161045</v>
      </c>
      <c r="E58" s="34">
        <v>35.866873065015483</v>
      </c>
      <c r="F58" s="34">
        <v>12.29721362229102</v>
      </c>
      <c r="G58" s="34">
        <v>20.495356037151687</v>
      </c>
      <c r="H58" s="34">
        <v>186.5077399380805</v>
      </c>
      <c r="I58" s="34">
        <v>0</v>
      </c>
      <c r="J58" s="34">
        <f t="shared" si="2"/>
        <v>512.11772747376449</v>
      </c>
      <c r="K58" s="34">
        <f t="shared" si="11"/>
        <v>200719.62979580701</v>
      </c>
      <c r="L58" s="34"/>
      <c r="M58" s="35">
        <f t="shared" si="12"/>
        <v>202508.44775761804</v>
      </c>
      <c r="N58" s="35"/>
      <c r="O58" s="36">
        <f t="shared" si="3"/>
        <v>403228.07755342504</v>
      </c>
      <c r="P58" s="36"/>
      <c r="Q58" s="36"/>
      <c r="R58" s="37">
        <f t="shared" si="4"/>
        <v>214.93506493506479</v>
      </c>
      <c r="S58" s="18"/>
      <c r="T58" s="18">
        <f t="shared" si="5"/>
        <v>42.015479876161045</v>
      </c>
      <c r="U58" s="18"/>
      <c r="V58" s="18">
        <f t="shared" si="6"/>
        <v>35.866873065015483</v>
      </c>
      <c r="W58" s="18"/>
      <c r="X58" s="18">
        <f t="shared" si="7"/>
        <v>12.29721362229102</v>
      </c>
      <c r="Y58" s="18"/>
      <c r="Z58" s="20">
        <f t="shared" si="8"/>
        <v>20.495356037151687</v>
      </c>
      <c r="AB58" s="20">
        <f t="shared" si="9"/>
        <v>186.5077399380805</v>
      </c>
      <c r="AD58" s="20">
        <f t="shared" si="10"/>
        <v>0</v>
      </c>
    </row>
    <row r="59" spans="1:30" x14ac:dyDescent="0.2">
      <c r="A59" s="18" t="s">
        <v>96</v>
      </c>
      <c r="B59" s="19">
        <v>2429</v>
      </c>
      <c r="C59" s="34">
        <v>49.599999999999994</v>
      </c>
      <c r="D59" s="34">
        <v>0</v>
      </c>
      <c r="E59" s="34">
        <v>2.9999999999999969</v>
      </c>
      <c r="F59" s="34">
        <v>31</v>
      </c>
      <c r="G59" s="34">
        <v>100.00000000000004</v>
      </c>
      <c r="H59" s="34">
        <v>2.9999999999999969</v>
      </c>
      <c r="I59" s="34">
        <v>15</v>
      </c>
      <c r="J59" s="34">
        <f t="shared" si="2"/>
        <v>201.60000000000002</v>
      </c>
      <c r="K59" s="34">
        <f t="shared" si="11"/>
        <v>46319.541396746019</v>
      </c>
      <c r="L59" s="34"/>
      <c r="M59" s="35">
        <f t="shared" si="12"/>
        <v>75506.262003574608</v>
      </c>
      <c r="N59" s="35"/>
      <c r="O59" s="36">
        <f t="shared" si="3"/>
        <v>121825.80340032063</v>
      </c>
      <c r="P59" s="36"/>
      <c r="Q59" s="36"/>
      <c r="R59" s="37">
        <f t="shared" si="4"/>
        <v>49.599999999999994</v>
      </c>
      <c r="S59" s="18"/>
      <c r="T59" s="18">
        <f t="shared" si="5"/>
        <v>0</v>
      </c>
      <c r="U59" s="18"/>
      <c r="V59" s="18">
        <f t="shared" si="6"/>
        <v>2.9999999999999969</v>
      </c>
      <c r="W59" s="18"/>
      <c r="X59" s="18">
        <f t="shared" si="7"/>
        <v>31</v>
      </c>
      <c r="Y59" s="18"/>
      <c r="Z59" s="20">
        <f t="shared" si="8"/>
        <v>100.00000000000004</v>
      </c>
      <c r="AB59" s="20">
        <f t="shared" si="9"/>
        <v>2.9999999999999969</v>
      </c>
      <c r="AD59" s="20">
        <f t="shared" si="10"/>
        <v>15</v>
      </c>
    </row>
    <row r="60" spans="1:30" x14ac:dyDescent="0.2">
      <c r="A60" s="18" t="s">
        <v>97</v>
      </c>
      <c r="B60" s="19">
        <v>2444</v>
      </c>
      <c r="C60" s="34">
        <v>57.274038461538481</v>
      </c>
      <c r="D60" s="34">
        <v>22.999999999999968</v>
      </c>
      <c r="E60" s="34">
        <v>55.999999999999908</v>
      </c>
      <c r="F60" s="34">
        <v>2.9999999999999933</v>
      </c>
      <c r="G60" s="34">
        <v>58.999999999999922</v>
      </c>
      <c r="H60" s="34">
        <v>17</v>
      </c>
      <c r="I60" s="34">
        <v>12.999999999999991</v>
      </c>
      <c r="J60" s="34">
        <f t="shared" si="2"/>
        <v>228.27403846153828</v>
      </c>
      <c r="K60" s="34">
        <f t="shared" si="11"/>
        <v>53486.032166896279</v>
      </c>
      <c r="L60" s="34"/>
      <c r="M60" s="35">
        <f t="shared" si="12"/>
        <v>72788.046042853573</v>
      </c>
      <c r="N60" s="35"/>
      <c r="O60" s="36">
        <f t="shared" si="3"/>
        <v>126274.07820974986</v>
      </c>
      <c r="P60" s="36"/>
      <c r="Q60" s="36"/>
      <c r="R60" s="37">
        <f t="shared" si="4"/>
        <v>57.274038461538481</v>
      </c>
      <c r="S60" s="18"/>
      <c r="T60" s="18">
        <f t="shared" si="5"/>
        <v>22.999999999999968</v>
      </c>
      <c r="U60" s="18"/>
      <c r="V60" s="18">
        <f t="shared" si="6"/>
        <v>55.999999999999908</v>
      </c>
      <c r="W60" s="18"/>
      <c r="X60" s="18">
        <f t="shared" si="7"/>
        <v>2.9999999999999933</v>
      </c>
      <c r="Y60" s="18"/>
      <c r="Z60" s="20">
        <f t="shared" si="8"/>
        <v>58.999999999999922</v>
      </c>
      <c r="AB60" s="20">
        <f t="shared" si="9"/>
        <v>17</v>
      </c>
      <c r="AD60" s="20">
        <f t="shared" si="10"/>
        <v>12.999999999999991</v>
      </c>
    </row>
    <row r="61" spans="1:30" x14ac:dyDescent="0.2">
      <c r="A61" s="18" t="s">
        <v>98</v>
      </c>
      <c r="B61" s="19">
        <v>5209</v>
      </c>
      <c r="C61" s="34">
        <v>110.54347826086956</v>
      </c>
      <c r="D61" s="34">
        <v>39.438202247190986</v>
      </c>
      <c r="E61" s="34">
        <v>61.685393258426849</v>
      </c>
      <c r="F61" s="34">
        <v>11.123595505617985</v>
      </c>
      <c r="G61" s="34">
        <v>62.69662921348305</v>
      </c>
      <c r="H61" s="34">
        <v>28.314606741573062</v>
      </c>
      <c r="I61" s="34">
        <v>21.235955056179769</v>
      </c>
      <c r="J61" s="34">
        <f t="shared" si="2"/>
        <v>335.03786028334127</v>
      </c>
      <c r="K61" s="34">
        <f t="shared" si="11"/>
        <v>103232.32293235164</v>
      </c>
      <c r="L61" s="34"/>
      <c r="M61" s="35">
        <f t="shared" si="12"/>
        <v>99014.946136615239</v>
      </c>
      <c r="N61" s="35"/>
      <c r="O61" s="36">
        <f t="shared" si="3"/>
        <v>202247.26906896688</v>
      </c>
      <c r="P61" s="36"/>
      <c r="Q61" s="36"/>
      <c r="R61" s="37">
        <f t="shared" si="4"/>
        <v>110.54347826086956</v>
      </c>
      <c r="S61" s="18"/>
      <c r="T61" s="18">
        <f t="shared" si="5"/>
        <v>39.438202247190986</v>
      </c>
      <c r="U61" s="18"/>
      <c r="V61" s="18">
        <f t="shared" si="6"/>
        <v>61.685393258426849</v>
      </c>
      <c r="W61" s="18"/>
      <c r="X61" s="18">
        <f t="shared" si="7"/>
        <v>11.123595505617985</v>
      </c>
      <c r="Y61" s="18"/>
      <c r="Z61" s="20">
        <f t="shared" si="8"/>
        <v>62.69662921348305</v>
      </c>
      <c r="AB61" s="20">
        <f t="shared" si="9"/>
        <v>28.314606741573062</v>
      </c>
      <c r="AD61" s="20">
        <f t="shared" si="10"/>
        <v>21.235955056179769</v>
      </c>
    </row>
    <row r="62" spans="1:30" x14ac:dyDescent="0.2">
      <c r="A62" s="18" t="s">
        <v>99</v>
      </c>
      <c r="B62" s="19">
        <v>2469</v>
      </c>
      <c r="C62" s="34">
        <v>61.22921914357682</v>
      </c>
      <c r="D62" s="34">
        <v>17.124694376528112</v>
      </c>
      <c r="E62" s="34">
        <v>14.102689486552549</v>
      </c>
      <c r="F62" s="34">
        <v>28.205378973105137</v>
      </c>
      <c r="G62" s="34">
        <v>5.036674816625907</v>
      </c>
      <c r="H62" s="34">
        <v>5.036674816625907</v>
      </c>
      <c r="I62" s="34">
        <v>0</v>
      </c>
      <c r="J62" s="34">
        <f t="shared" si="2"/>
        <v>130.73533161301444</v>
      </c>
      <c r="K62" s="34">
        <f t="shared" si="11"/>
        <v>57179.624008293154</v>
      </c>
      <c r="L62" s="34"/>
      <c r="M62" s="35">
        <f t="shared" si="12"/>
        <v>22353.993914522674</v>
      </c>
      <c r="N62" s="35"/>
      <c r="O62" s="36">
        <f t="shared" si="3"/>
        <v>79533.617922815829</v>
      </c>
      <c r="P62" s="36"/>
      <c r="Q62" s="36"/>
      <c r="R62" s="37">
        <f t="shared" si="4"/>
        <v>61.22921914357682</v>
      </c>
      <c r="S62" s="18"/>
      <c r="T62" s="18">
        <f t="shared" si="5"/>
        <v>17.124694376528112</v>
      </c>
      <c r="U62" s="18"/>
      <c r="V62" s="18">
        <f t="shared" si="6"/>
        <v>14.102689486552549</v>
      </c>
      <c r="W62" s="18"/>
      <c r="X62" s="18">
        <f t="shared" si="7"/>
        <v>28.205378973105137</v>
      </c>
      <c r="Y62" s="18"/>
      <c r="Z62" s="20">
        <f t="shared" si="8"/>
        <v>5.036674816625907</v>
      </c>
      <c r="AB62" s="20">
        <f t="shared" si="9"/>
        <v>5.036674816625907</v>
      </c>
      <c r="AD62" s="20">
        <f t="shared" si="10"/>
        <v>0</v>
      </c>
    </row>
    <row r="63" spans="1:30" x14ac:dyDescent="0.2">
      <c r="A63" s="18" t="s">
        <v>100</v>
      </c>
      <c r="B63" s="19">
        <v>2430</v>
      </c>
      <c r="C63" s="34">
        <v>66</v>
      </c>
      <c r="D63" s="34">
        <v>3.0000000000000018</v>
      </c>
      <c r="E63" s="34">
        <v>4.0000000000000027</v>
      </c>
      <c r="F63" s="34">
        <v>26.999999999999986</v>
      </c>
      <c r="G63" s="34">
        <v>3.0000000000000018</v>
      </c>
      <c r="H63" s="34">
        <v>4.0000000000000027</v>
      </c>
      <c r="I63" s="34">
        <v>70.000000000000043</v>
      </c>
      <c r="J63" s="34">
        <f t="shared" si="2"/>
        <v>177.00000000000003</v>
      </c>
      <c r="K63" s="34">
        <f t="shared" si="11"/>
        <v>61634.873632766881</v>
      </c>
      <c r="L63" s="34"/>
      <c r="M63" s="35">
        <f t="shared" si="12"/>
        <v>81729.159032112584</v>
      </c>
      <c r="N63" s="35"/>
      <c r="O63" s="36">
        <f t="shared" si="3"/>
        <v>143364.03266487946</v>
      </c>
      <c r="P63" s="36"/>
      <c r="Q63" s="36"/>
      <c r="R63" s="37">
        <f t="shared" si="4"/>
        <v>66</v>
      </c>
      <c r="S63" s="18"/>
      <c r="T63" s="18">
        <f t="shared" si="5"/>
        <v>3.0000000000000018</v>
      </c>
      <c r="U63" s="18"/>
      <c r="V63" s="18">
        <f t="shared" si="6"/>
        <v>4.0000000000000027</v>
      </c>
      <c r="W63" s="18"/>
      <c r="X63" s="18">
        <f t="shared" si="7"/>
        <v>26.999999999999986</v>
      </c>
      <c r="Y63" s="18"/>
      <c r="Z63" s="20">
        <f t="shared" si="8"/>
        <v>3.0000000000000018</v>
      </c>
      <c r="AB63" s="20">
        <f t="shared" si="9"/>
        <v>4.0000000000000027</v>
      </c>
      <c r="AD63" s="20">
        <f t="shared" si="10"/>
        <v>70.000000000000043</v>
      </c>
    </row>
    <row r="64" spans="1:30" x14ac:dyDescent="0.2">
      <c r="A64" s="18" t="s">
        <v>101</v>
      </c>
      <c r="B64" s="19">
        <v>2466</v>
      </c>
      <c r="C64" s="34">
        <v>56.313253012048193</v>
      </c>
      <c r="D64" s="34">
        <v>44.639053254437862</v>
      </c>
      <c r="E64" s="34">
        <v>24.26035502958576</v>
      </c>
      <c r="F64" s="34">
        <v>5.8224852071005984</v>
      </c>
      <c r="G64" s="34">
        <v>4.8520710059171517</v>
      </c>
      <c r="H64" s="34">
        <v>8.7337278106508904</v>
      </c>
      <c r="I64" s="34">
        <v>0</v>
      </c>
      <c r="J64" s="34">
        <f t="shared" si="2"/>
        <v>144.62094531974046</v>
      </c>
      <c r="K64" s="34">
        <f t="shared" si="11"/>
        <v>52588.791412842722</v>
      </c>
      <c r="L64" s="34"/>
      <c r="M64" s="35">
        <f t="shared" si="12"/>
        <v>23463.799828068448</v>
      </c>
      <c r="N64" s="35"/>
      <c r="O64" s="36">
        <f t="shared" si="3"/>
        <v>76052.591240911162</v>
      </c>
      <c r="P64" s="36"/>
      <c r="Q64" s="36"/>
      <c r="R64" s="37">
        <f t="shared" si="4"/>
        <v>56.313253012048193</v>
      </c>
      <c r="S64" s="18"/>
      <c r="T64" s="18">
        <f t="shared" si="5"/>
        <v>44.639053254437862</v>
      </c>
      <c r="U64" s="18"/>
      <c r="V64" s="18">
        <f t="shared" si="6"/>
        <v>24.26035502958576</v>
      </c>
      <c r="W64" s="18"/>
      <c r="X64" s="18">
        <f t="shared" si="7"/>
        <v>5.8224852071005984</v>
      </c>
      <c r="Y64" s="18"/>
      <c r="Z64" s="20">
        <f t="shared" si="8"/>
        <v>4.8520710059171517</v>
      </c>
      <c r="AB64" s="20">
        <f t="shared" si="9"/>
        <v>8.7337278106508904</v>
      </c>
      <c r="AD64" s="20">
        <f t="shared" si="10"/>
        <v>0</v>
      </c>
    </row>
    <row r="65" spans="1:31" x14ac:dyDescent="0.2">
      <c r="A65" s="18" t="s">
        <v>102</v>
      </c>
      <c r="B65" s="19">
        <v>3543</v>
      </c>
      <c r="C65" s="34">
        <v>61.254355400696866</v>
      </c>
      <c r="D65" s="34">
        <v>39.268041237113394</v>
      </c>
      <c r="E65" s="34">
        <v>14.096219931271468</v>
      </c>
      <c r="F65" s="34">
        <v>43.295532646048116</v>
      </c>
      <c r="G65" s="34">
        <v>11.075601374570455</v>
      </c>
      <c r="H65" s="34">
        <v>34.233676975945137</v>
      </c>
      <c r="I65" s="34">
        <v>2.0137457044673552</v>
      </c>
      <c r="J65" s="34">
        <f t="shared" si="2"/>
        <v>205.23717327011281</v>
      </c>
      <c r="K65" s="34">
        <f t="shared" si="11"/>
        <v>57203.097796644593</v>
      </c>
      <c r="L65" s="34"/>
      <c r="M65" s="35">
        <f t="shared" si="12"/>
        <v>62423.29592926093</v>
      </c>
      <c r="N65" s="35"/>
      <c r="O65" s="36">
        <f t="shared" si="3"/>
        <v>119626.39372590552</v>
      </c>
      <c r="P65" s="36"/>
      <c r="Q65" s="36"/>
      <c r="R65" s="37">
        <f t="shared" si="4"/>
        <v>61.254355400696866</v>
      </c>
      <c r="S65" s="18"/>
      <c r="T65" s="18">
        <f t="shared" si="5"/>
        <v>39.268041237113394</v>
      </c>
      <c r="U65" s="18"/>
      <c r="V65" s="18">
        <f t="shared" si="6"/>
        <v>14.096219931271468</v>
      </c>
      <c r="W65" s="18"/>
      <c r="X65" s="18">
        <f t="shared" si="7"/>
        <v>43.295532646048116</v>
      </c>
      <c r="Y65" s="18"/>
      <c r="Z65" s="20">
        <f t="shared" si="8"/>
        <v>11.075601374570455</v>
      </c>
      <c r="AB65" s="20">
        <f t="shared" si="9"/>
        <v>34.233676975945137</v>
      </c>
      <c r="AD65" s="20">
        <f t="shared" si="10"/>
        <v>2.0137457044673552</v>
      </c>
    </row>
    <row r="66" spans="1:31" x14ac:dyDescent="0.2">
      <c r="A66" s="18" t="s">
        <v>104</v>
      </c>
      <c r="B66" s="19">
        <v>3531</v>
      </c>
      <c r="C66" s="34">
        <v>113.59649122807014</v>
      </c>
      <c r="D66" s="34">
        <v>18.367346938775519</v>
      </c>
      <c r="E66" s="34">
        <v>4.0816326530612148</v>
      </c>
      <c r="F66" s="34">
        <v>45.918367346938801</v>
      </c>
      <c r="G66" s="34">
        <v>55.102040816326699</v>
      </c>
      <c r="H66" s="34">
        <v>15.3061224489796</v>
      </c>
      <c r="I66" s="34">
        <v>58.163265306122547</v>
      </c>
      <c r="J66" s="34">
        <f t="shared" si="2"/>
        <v>310.53526673827452</v>
      </c>
      <c r="K66" s="34">
        <f t="shared" si="11"/>
        <v>106083.41487830022</v>
      </c>
      <c r="L66" s="34"/>
      <c r="M66" s="35">
        <f t="shared" si="12"/>
        <v>114191.10663204477</v>
      </c>
      <c r="N66" s="35"/>
      <c r="O66" s="36">
        <f t="shared" si="3"/>
        <v>220274.52151034499</v>
      </c>
      <c r="P66" s="36"/>
      <c r="Q66" s="36"/>
      <c r="R66" s="37">
        <f t="shared" si="4"/>
        <v>113.59649122807014</v>
      </c>
      <c r="S66" s="18"/>
      <c r="T66" s="18">
        <f t="shared" si="5"/>
        <v>18.367346938775519</v>
      </c>
      <c r="U66" s="18"/>
      <c r="V66" s="18">
        <f t="shared" si="6"/>
        <v>4.0816326530612148</v>
      </c>
      <c r="W66" s="18"/>
      <c r="X66" s="18">
        <f t="shared" si="7"/>
        <v>45.918367346938801</v>
      </c>
      <c r="Y66" s="18"/>
      <c r="Z66" s="20">
        <f t="shared" si="8"/>
        <v>55.102040816326699</v>
      </c>
      <c r="AB66" s="20">
        <f t="shared" si="9"/>
        <v>15.3061224489796</v>
      </c>
      <c r="AD66" s="20">
        <f t="shared" si="10"/>
        <v>58.163265306122547</v>
      </c>
    </row>
    <row r="67" spans="1:31" x14ac:dyDescent="0.2">
      <c r="A67" s="18" t="s">
        <v>164</v>
      </c>
      <c r="B67" s="19">
        <v>3526</v>
      </c>
      <c r="C67" s="34">
        <v>33.20000000000001</v>
      </c>
      <c r="D67" s="34">
        <v>0</v>
      </c>
      <c r="E67" s="34">
        <v>8</v>
      </c>
      <c r="F67" s="34">
        <v>15.999999999999966</v>
      </c>
      <c r="G67" s="34">
        <v>41.000000000000014</v>
      </c>
      <c r="H67" s="34">
        <v>0</v>
      </c>
      <c r="I67" s="34">
        <v>17.000000000000021</v>
      </c>
      <c r="J67" s="34">
        <f t="shared" si="2"/>
        <v>115.20000000000002</v>
      </c>
      <c r="K67" s="34">
        <f t="shared" si="11"/>
        <v>31004.209160725168</v>
      </c>
      <c r="L67" s="34"/>
      <c r="M67" s="35">
        <f t="shared" si="12"/>
        <v>42742.312121134222</v>
      </c>
      <c r="N67" s="35"/>
      <c r="O67" s="36">
        <f t="shared" si="3"/>
        <v>73746.521281859386</v>
      </c>
      <c r="P67" s="36"/>
      <c r="Q67" s="36"/>
      <c r="R67" s="37">
        <f t="shared" si="4"/>
        <v>33.20000000000001</v>
      </c>
      <c r="S67" s="18"/>
      <c r="T67" s="18">
        <f t="shared" si="5"/>
        <v>0</v>
      </c>
      <c r="U67" s="18"/>
      <c r="V67" s="18">
        <f t="shared" si="6"/>
        <v>8</v>
      </c>
      <c r="W67" s="18"/>
      <c r="X67" s="18">
        <f t="shared" si="7"/>
        <v>15.999999999999966</v>
      </c>
      <c r="Y67" s="18"/>
      <c r="Z67" s="20">
        <f t="shared" si="8"/>
        <v>41.000000000000014</v>
      </c>
      <c r="AB67" s="20">
        <f t="shared" si="9"/>
        <v>0</v>
      </c>
      <c r="AD67" s="20">
        <f t="shared" si="10"/>
        <v>17.000000000000021</v>
      </c>
    </row>
    <row r="68" spans="1:31" x14ac:dyDescent="0.2">
      <c r="A68" s="18" t="s">
        <v>165</v>
      </c>
      <c r="B68" s="19">
        <v>3535</v>
      </c>
      <c r="C68" s="34">
        <v>144.75172413793103</v>
      </c>
      <c r="D68" s="34">
        <v>0</v>
      </c>
      <c r="E68" s="34">
        <v>18.12</v>
      </c>
      <c r="F68" s="34">
        <v>57.38</v>
      </c>
      <c r="G68" s="34">
        <v>172.14</v>
      </c>
      <c r="H68" s="34">
        <v>8.0533333333333434</v>
      </c>
      <c r="I68" s="34">
        <v>32.213333333333438</v>
      </c>
      <c r="J68" s="34">
        <f t="shared" si="2"/>
        <v>432.65839080459779</v>
      </c>
      <c r="K68" s="34">
        <f t="shared" si="11"/>
        <v>135178.09432373501</v>
      </c>
      <c r="L68" s="34"/>
      <c r="M68" s="35">
        <f t="shared" si="12"/>
        <v>143150.59680434782</v>
      </c>
      <c r="N68" s="35"/>
      <c r="O68" s="36">
        <f t="shared" si="3"/>
        <v>278328.69112808281</v>
      </c>
      <c r="P68" s="36"/>
      <c r="Q68" s="36"/>
      <c r="R68" s="37">
        <f t="shared" si="4"/>
        <v>144.75172413793103</v>
      </c>
      <c r="S68" s="18"/>
      <c r="T68" s="18">
        <f t="shared" si="5"/>
        <v>0</v>
      </c>
      <c r="U68" s="18"/>
      <c r="V68" s="18">
        <f t="shared" si="6"/>
        <v>18.12</v>
      </c>
      <c r="W68" s="18"/>
      <c r="X68" s="18">
        <f t="shared" si="7"/>
        <v>57.38</v>
      </c>
      <c r="Y68" s="18"/>
      <c r="Z68" s="20">
        <f t="shared" si="8"/>
        <v>172.14</v>
      </c>
      <c r="AB68" s="20">
        <f t="shared" si="9"/>
        <v>8.0533333333333434</v>
      </c>
      <c r="AD68" s="20">
        <f t="shared" si="10"/>
        <v>32.213333333333438</v>
      </c>
    </row>
    <row r="69" spans="1:31" x14ac:dyDescent="0.2">
      <c r="A69" s="21" t="s">
        <v>107</v>
      </c>
      <c r="B69" s="19">
        <v>2008</v>
      </c>
      <c r="C69" s="34">
        <v>77.703196347031948</v>
      </c>
      <c r="D69" s="34">
        <v>16.146118721461185</v>
      </c>
      <c r="E69" s="34">
        <v>21.191780821917806</v>
      </c>
      <c r="F69" s="34">
        <v>30.273972602739725</v>
      </c>
      <c r="G69" s="34">
        <v>58.529680365296841</v>
      </c>
      <c r="H69" s="34">
        <v>24.219178082191689</v>
      </c>
      <c r="I69" s="34">
        <v>9.0821917808219172</v>
      </c>
      <c r="J69" s="34">
        <f t="shared" si="2"/>
        <v>237.14611872146108</v>
      </c>
      <c r="K69" s="34">
        <f t="shared" si="11"/>
        <v>72564.040722899808</v>
      </c>
      <c r="L69" s="34"/>
      <c r="M69" s="35">
        <f t="shared" si="12"/>
        <v>76308.45488802786</v>
      </c>
      <c r="N69" s="35"/>
      <c r="O69" s="36">
        <f t="shared" si="3"/>
        <v>148872.49561092767</v>
      </c>
      <c r="P69" s="36"/>
      <c r="Q69" s="36"/>
      <c r="R69" s="37">
        <f t="shared" si="4"/>
        <v>77.703196347031948</v>
      </c>
      <c r="S69" s="18"/>
      <c r="T69" s="18">
        <f t="shared" si="5"/>
        <v>16.146118721461185</v>
      </c>
      <c r="U69" s="18"/>
      <c r="V69" s="18">
        <f t="shared" si="6"/>
        <v>21.191780821917806</v>
      </c>
      <c r="W69" s="18"/>
      <c r="X69" s="18">
        <f t="shared" si="7"/>
        <v>30.273972602739725</v>
      </c>
      <c r="Y69" s="18"/>
      <c r="Z69" s="20">
        <f t="shared" si="8"/>
        <v>58.529680365296841</v>
      </c>
      <c r="AB69" s="20">
        <f t="shared" si="9"/>
        <v>24.219178082191689</v>
      </c>
      <c r="AD69" s="20">
        <f t="shared" si="10"/>
        <v>9.0821917808219172</v>
      </c>
    </row>
    <row r="70" spans="1:31" x14ac:dyDescent="0.2">
      <c r="A70" s="18" t="s">
        <v>166</v>
      </c>
      <c r="B70" s="19">
        <v>3542</v>
      </c>
      <c r="C70" s="34">
        <v>66.104815864022669</v>
      </c>
      <c r="D70" s="34">
        <v>14.000000000000012</v>
      </c>
      <c r="E70" s="34">
        <v>77.999999999999844</v>
      </c>
      <c r="F70" s="34">
        <v>72.000000000000043</v>
      </c>
      <c r="G70" s="34">
        <v>49.999999999999964</v>
      </c>
      <c r="H70" s="34">
        <v>27.999999999999989</v>
      </c>
      <c r="I70" s="34">
        <v>19.999999999999986</v>
      </c>
      <c r="J70" s="34">
        <f t="shared" si="2"/>
        <v>328.1048158640225</v>
      </c>
      <c r="K70" s="34">
        <f>C$1*C70</f>
        <v>61732.757156005464</v>
      </c>
      <c r="L70" s="34"/>
      <c r="M70" s="35">
        <f t="shared" ref="M70:M77" si="13">D$1*D70+E$1*E70+F$1*F70+G$1*G70+H$1*H70+I$1*I70</f>
        <v>113890.4689133823</v>
      </c>
      <c r="N70" s="35"/>
      <c r="O70" s="36">
        <f t="shared" si="3"/>
        <v>175623.22606938775</v>
      </c>
      <c r="P70" s="36"/>
      <c r="Q70" s="36"/>
      <c r="R70" s="37">
        <f t="shared" si="4"/>
        <v>66.104815864022669</v>
      </c>
      <c r="S70" s="18"/>
      <c r="T70" s="18">
        <f t="shared" si="5"/>
        <v>14.000000000000012</v>
      </c>
      <c r="U70" s="18"/>
      <c r="V70" s="18">
        <f t="shared" si="6"/>
        <v>77.999999999999844</v>
      </c>
      <c r="W70" s="18"/>
      <c r="X70" s="18">
        <f t="shared" si="7"/>
        <v>72.000000000000043</v>
      </c>
      <c r="Y70" s="18"/>
      <c r="Z70" s="20">
        <f t="shared" si="8"/>
        <v>49.999999999999964</v>
      </c>
      <c r="AB70" s="20">
        <f t="shared" si="9"/>
        <v>27.999999999999989</v>
      </c>
      <c r="AD70" s="20">
        <f t="shared" si="10"/>
        <v>19.999999999999986</v>
      </c>
    </row>
    <row r="71" spans="1:31" x14ac:dyDescent="0.2">
      <c r="A71" s="18" t="s">
        <v>167</v>
      </c>
      <c r="B71" s="19">
        <v>3528</v>
      </c>
      <c r="C71" s="34">
        <v>76.837758112094392</v>
      </c>
      <c r="D71" s="34">
        <v>19.163323782234968</v>
      </c>
      <c r="E71" s="34">
        <v>48.412607449856679</v>
      </c>
      <c r="F71" s="34">
        <v>92.790830945558596</v>
      </c>
      <c r="G71" s="34">
        <v>28.240687679083088</v>
      </c>
      <c r="H71" s="34">
        <v>23.197707736389681</v>
      </c>
      <c r="I71" s="34">
        <v>19.163323782234968</v>
      </c>
      <c r="J71" s="34">
        <f t="shared" ref="J71:J76" si="14">SUM(C71:I71)</f>
        <v>307.80623948745233</v>
      </c>
      <c r="K71" s="34">
        <f>C$1*C71</f>
        <v>71755.841082788582</v>
      </c>
      <c r="L71" s="34"/>
      <c r="M71" s="35">
        <f t="shared" si="13"/>
        <v>99363.163686466607</v>
      </c>
      <c r="N71" s="35"/>
      <c r="O71" s="36">
        <f t="shared" ref="O71:O76" si="15">K71+L71+M71+N71</f>
        <v>171119.00476925517</v>
      </c>
      <c r="P71" s="36"/>
      <c r="Q71" s="36"/>
      <c r="R71" s="37">
        <f t="shared" ref="R71:R76" si="16">C71</f>
        <v>76.837758112094392</v>
      </c>
      <c r="S71" s="18"/>
      <c r="T71" s="18">
        <f t="shared" ref="T71:T76" si="17">D71</f>
        <v>19.163323782234968</v>
      </c>
      <c r="U71" s="18"/>
      <c r="V71" s="18">
        <f t="shared" ref="V71:V76" si="18">E71</f>
        <v>48.412607449856679</v>
      </c>
      <c r="W71" s="18"/>
      <c r="X71" s="18">
        <f t="shared" ref="X71:X76" si="19">F71</f>
        <v>92.790830945558596</v>
      </c>
      <c r="Y71" s="18"/>
      <c r="Z71" s="20">
        <f t="shared" ref="Z71:Z76" si="20">G71</f>
        <v>28.240687679083088</v>
      </c>
      <c r="AB71" s="20">
        <f t="shared" ref="AB71:AB76" si="21">H71</f>
        <v>23.197707736389681</v>
      </c>
      <c r="AD71" s="20">
        <f t="shared" ref="AD71:AD76" si="22">I71</f>
        <v>19.163323782234968</v>
      </c>
    </row>
    <row r="72" spans="1:31" x14ac:dyDescent="0.2">
      <c r="A72" s="18" t="s">
        <v>168</v>
      </c>
      <c r="B72" s="19">
        <v>3534</v>
      </c>
      <c r="C72" s="34">
        <v>47</v>
      </c>
      <c r="D72" s="34">
        <v>7.0590717299578163</v>
      </c>
      <c r="E72" s="34">
        <v>12.101265822784818</v>
      </c>
      <c r="F72" s="34">
        <v>18.151898734177216</v>
      </c>
      <c r="G72" s="34">
        <v>11.0928270042194</v>
      </c>
      <c r="H72" s="34">
        <v>1.0084388185654003</v>
      </c>
      <c r="I72" s="34">
        <v>2.0168776371308006</v>
      </c>
      <c r="J72" s="34">
        <f t="shared" si="14"/>
        <v>98.430379746835442</v>
      </c>
      <c r="K72" s="34">
        <f t="shared" ref="K72:K76" si="23">C$1*C72</f>
        <v>43891.50092030369</v>
      </c>
      <c r="L72" s="34"/>
      <c r="M72" s="35">
        <f t="shared" si="13"/>
        <v>18116.005290864636</v>
      </c>
      <c r="N72" s="35"/>
      <c r="O72" s="36">
        <f t="shared" si="15"/>
        <v>62007.506211168322</v>
      </c>
      <c r="P72" s="36"/>
      <c r="Q72" s="36"/>
      <c r="R72" s="37">
        <f t="shared" si="16"/>
        <v>47</v>
      </c>
      <c r="S72" s="18"/>
      <c r="T72" s="18">
        <f t="shared" si="17"/>
        <v>7.0590717299578163</v>
      </c>
      <c r="U72" s="18"/>
      <c r="V72" s="18">
        <f t="shared" si="18"/>
        <v>12.101265822784818</v>
      </c>
      <c r="W72" s="18"/>
      <c r="X72" s="18">
        <f t="shared" si="19"/>
        <v>18.151898734177216</v>
      </c>
      <c r="Y72" s="18"/>
      <c r="Z72" s="20">
        <f t="shared" si="20"/>
        <v>11.0928270042194</v>
      </c>
      <c r="AB72" s="20">
        <f t="shared" si="21"/>
        <v>1.0084388185654003</v>
      </c>
      <c r="AD72" s="20">
        <f t="shared" si="22"/>
        <v>2.0168776371308006</v>
      </c>
    </row>
    <row r="73" spans="1:31" x14ac:dyDescent="0.2">
      <c r="A73" s="18" t="s">
        <v>169</v>
      </c>
      <c r="B73" s="19">
        <v>3532</v>
      </c>
      <c r="C73" s="34">
        <v>33.888157894736842</v>
      </c>
      <c r="D73" s="34">
        <v>55.549999999999898</v>
      </c>
      <c r="E73" s="34">
        <v>18.18</v>
      </c>
      <c r="F73" s="34">
        <v>4.0399999999999894</v>
      </c>
      <c r="G73" s="34">
        <v>7.0699999999999896</v>
      </c>
      <c r="H73" s="34">
        <v>5.0500000000000105</v>
      </c>
      <c r="I73" s="34">
        <v>0</v>
      </c>
      <c r="J73" s="34">
        <f t="shared" si="14"/>
        <v>123.77815789473675</v>
      </c>
      <c r="K73" s="34">
        <f t="shared" si="23"/>
        <v>31646.853477111465</v>
      </c>
      <c r="L73" s="34"/>
      <c r="M73" s="35">
        <f t="shared" si="13"/>
        <v>20270.288007168696</v>
      </c>
      <c r="N73" s="35"/>
      <c r="O73" s="36">
        <f t="shared" si="15"/>
        <v>51917.141484280161</v>
      </c>
      <c r="P73" s="36"/>
      <c r="Q73" s="36"/>
      <c r="R73" s="37">
        <f t="shared" si="16"/>
        <v>33.888157894736842</v>
      </c>
      <c r="S73" s="18"/>
      <c r="T73" s="18">
        <f t="shared" si="17"/>
        <v>55.549999999999898</v>
      </c>
      <c r="U73" s="18"/>
      <c r="V73" s="18">
        <f t="shared" si="18"/>
        <v>18.18</v>
      </c>
      <c r="W73" s="18"/>
      <c r="X73" s="18">
        <f t="shared" si="19"/>
        <v>4.0399999999999894</v>
      </c>
      <c r="Y73" s="18"/>
      <c r="Z73" s="20">
        <f t="shared" si="20"/>
        <v>7.0699999999999896</v>
      </c>
      <c r="AB73" s="20">
        <f t="shared" si="21"/>
        <v>5.0500000000000105</v>
      </c>
      <c r="AD73" s="20">
        <f t="shared" si="22"/>
        <v>0</v>
      </c>
    </row>
    <row r="74" spans="1:31" x14ac:dyDescent="0.2">
      <c r="A74" s="18" t="s">
        <v>112</v>
      </c>
      <c r="B74" s="19">
        <v>3546</v>
      </c>
      <c r="C74" s="34">
        <v>229.64929859719436</v>
      </c>
      <c r="D74" s="34">
        <v>49.999999999999972</v>
      </c>
      <c r="E74" s="34">
        <v>0</v>
      </c>
      <c r="F74" s="34">
        <v>56.000000000000107</v>
      </c>
      <c r="G74" s="34">
        <v>166.00000000000026</v>
      </c>
      <c r="H74" s="34">
        <v>8</v>
      </c>
      <c r="I74" s="34">
        <v>213</v>
      </c>
      <c r="J74" s="34">
        <f t="shared" si="14"/>
        <v>722.64929859719473</v>
      </c>
      <c r="K74" s="34">
        <f t="shared" si="23"/>
        <v>214460.68937714581</v>
      </c>
      <c r="L74" s="34"/>
      <c r="M74" s="35">
        <f t="shared" si="13"/>
        <v>311174.45391281479</v>
      </c>
      <c r="N74" s="35"/>
      <c r="O74" s="36">
        <f t="shared" si="15"/>
        <v>525635.14328996057</v>
      </c>
      <c r="P74" s="36"/>
      <c r="Q74" s="36"/>
      <c r="R74" s="37">
        <f t="shared" si="16"/>
        <v>229.64929859719436</v>
      </c>
      <c r="S74" s="18"/>
      <c r="T74" s="18">
        <f t="shared" si="17"/>
        <v>49.999999999999972</v>
      </c>
      <c r="U74" s="18"/>
      <c r="V74" s="18">
        <f t="shared" si="18"/>
        <v>0</v>
      </c>
      <c r="W74" s="18"/>
      <c r="X74" s="18">
        <f t="shared" si="19"/>
        <v>56.000000000000107</v>
      </c>
      <c r="Y74" s="18"/>
      <c r="Z74" s="20">
        <f t="shared" si="20"/>
        <v>166.00000000000026</v>
      </c>
      <c r="AB74" s="20">
        <f t="shared" si="21"/>
        <v>8</v>
      </c>
      <c r="AD74" s="20">
        <f t="shared" si="22"/>
        <v>213</v>
      </c>
    </row>
    <row r="75" spans="1:31" x14ac:dyDescent="0.2">
      <c r="A75" s="18" t="s">
        <v>170</v>
      </c>
      <c r="B75" s="19">
        <v>3530</v>
      </c>
      <c r="C75" s="34">
        <v>16.53156146179402</v>
      </c>
      <c r="D75" s="34">
        <v>1.003225806451612</v>
      </c>
      <c r="E75" s="34">
        <v>15.048387096774178</v>
      </c>
      <c r="F75" s="34">
        <v>5.0161290322580587</v>
      </c>
      <c r="G75" s="34">
        <v>0</v>
      </c>
      <c r="H75" s="34">
        <v>1.003225806451612</v>
      </c>
      <c r="I75" s="34">
        <v>0</v>
      </c>
      <c r="J75" s="34">
        <f t="shared" si="14"/>
        <v>38.602529203729482</v>
      </c>
      <c r="K75" s="34">
        <f t="shared" si="23"/>
        <v>15438.192449242324</v>
      </c>
      <c r="L75" s="34"/>
      <c r="M75" s="35">
        <f t="shared" si="13"/>
        <v>6358.4562580581769</v>
      </c>
      <c r="N75" s="35"/>
      <c r="O75" s="36">
        <f t="shared" si="15"/>
        <v>21796.648707300501</v>
      </c>
      <c r="P75" s="36"/>
      <c r="Q75" s="36"/>
      <c r="R75" s="37">
        <f t="shared" si="16"/>
        <v>16.53156146179402</v>
      </c>
      <c r="S75" s="18"/>
      <c r="T75" s="18">
        <f t="shared" si="17"/>
        <v>1.003225806451612</v>
      </c>
      <c r="U75" s="18"/>
      <c r="V75" s="18">
        <f t="shared" si="18"/>
        <v>15.048387096774178</v>
      </c>
      <c r="W75" s="18"/>
      <c r="X75" s="18">
        <f t="shared" si="19"/>
        <v>5.0161290322580587</v>
      </c>
      <c r="Y75" s="18"/>
      <c r="Z75" s="20">
        <f t="shared" si="20"/>
        <v>0</v>
      </c>
      <c r="AB75" s="20">
        <f t="shared" si="21"/>
        <v>1.003225806451612</v>
      </c>
      <c r="AD75" s="20">
        <f t="shared" si="22"/>
        <v>0</v>
      </c>
    </row>
    <row r="76" spans="1:31" x14ac:dyDescent="0.2">
      <c r="A76" s="18" t="s">
        <v>114</v>
      </c>
      <c r="B76" s="19">
        <v>2459</v>
      </c>
      <c r="C76" s="34">
        <v>34.176623376623375</v>
      </c>
      <c r="D76" s="34">
        <v>4</v>
      </c>
      <c r="E76" s="34">
        <v>8</v>
      </c>
      <c r="F76" s="34">
        <v>5.0000000000000107</v>
      </c>
      <c r="G76" s="34">
        <v>0</v>
      </c>
      <c r="H76" s="34">
        <v>0</v>
      </c>
      <c r="I76" s="34">
        <v>0</v>
      </c>
      <c r="J76" s="34">
        <f t="shared" si="14"/>
        <v>51.176623376623382</v>
      </c>
      <c r="K76" s="34">
        <f t="shared" si="23"/>
        <v>31916.240348679519</v>
      </c>
      <c r="L76" s="34"/>
      <c r="M76" s="35">
        <f t="shared" si="13"/>
        <v>4108.1623936679107</v>
      </c>
      <c r="N76" s="35"/>
      <c r="O76" s="36">
        <f t="shared" si="15"/>
        <v>36024.402742347433</v>
      </c>
      <c r="P76" s="36"/>
      <c r="Q76" s="36"/>
      <c r="R76" s="37">
        <f t="shared" si="16"/>
        <v>34.176623376623375</v>
      </c>
      <c r="S76" s="18"/>
      <c r="T76" s="18">
        <f t="shared" si="17"/>
        <v>4</v>
      </c>
      <c r="U76" s="18"/>
      <c r="V76" s="18">
        <f t="shared" si="18"/>
        <v>8</v>
      </c>
      <c r="W76" s="18"/>
      <c r="X76" s="18">
        <f t="shared" si="19"/>
        <v>5.0000000000000107</v>
      </c>
      <c r="Y76" s="18"/>
      <c r="Z76" s="20">
        <f t="shared" si="20"/>
        <v>0</v>
      </c>
      <c r="AB76" s="20">
        <f t="shared" si="21"/>
        <v>0</v>
      </c>
      <c r="AD76" s="20">
        <f t="shared" si="22"/>
        <v>0</v>
      </c>
    </row>
    <row r="77" spans="1:31" x14ac:dyDescent="0.2">
      <c r="A77" s="18"/>
      <c r="B77" s="19"/>
      <c r="C77" s="34"/>
      <c r="D77" s="34"/>
      <c r="E77" s="34"/>
      <c r="F77" s="34"/>
      <c r="G77" s="34"/>
      <c r="H77" s="34"/>
      <c r="I77" s="34"/>
      <c r="J77" s="34"/>
      <c r="K77" s="34"/>
      <c r="L77" s="34"/>
      <c r="M77" s="35">
        <f t="shared" si="13"/>
        <v>0</v>
      </c>
      <c r="N77" s="35"/>
      <c r="O77" s="36"/>
      <c r="P77" s="36"/>
      <c r="Q77" s="36"/>
      <c r="S77" s="18"/>
      <c r="T77" s="18"/>
      <c r="U77" s="18"/>
      <c r="V77" s="18"/>
      <c r="W77" s="18"/>
      <c r="X77" s="18"/>
      <c r="Y77" s="18"/>
    </row>
    <row r="78" spans="1:31" x14ac:dyDescent="0.2">
      <c r="A78" s="9" t="s">
        <v>171</v>
      </c>
      <c r="B78" s="9" t="s">
        <v>171</v>
      </c>
      <c r="C78" s="40">
        <f t="shared" ref="C78:O78" si="24">SUM(C7:C76)</f>
        <v>6707.0907361927821</v>
      </c>
      <c r="D78" s="40">
        <f t="shared" si="24"/>
        <v>1406.3004908302112</v>
      </c>
      <c r="E78" s="40">
        <f t="shared" si="24"/>
        <v>2086.9097756797519</v>
      </c>
      <c r="F78" s="40">
        <f t="shared" si="24"/>
        <v>3693.4021368883004</v>
      </c>
      <c r="G78" s="40">
        <f t="shared" si="24"/>
        <v>2656.399301149826</v>
      </c>
      <c r="H78" s="40">
        <f t="shared" si="24"/>
        <v>1873.8551884238548</v>
      </c>
      <c r="I78" s="40">
        <f t="shared" si="24"/>
        <v>1125.4733107362049</v>
      </c>
      <c r="J78" s="40">
        <f t="shared" si="24"/>
        <v>19549.43093990094</v>
      </c>
      <c r="K78" s="40">
        <f t="shared" si="24"/>
        <v>6263495.3025567224</v>
      </c>
      <c r="L78" s="40">
        <f t="shared" si="24"/>
        <v>0</v>
      </c>
      <c r="M78" s="40">
        <f t="shared" si="24"/>
        <v>6021360.872480412</v>
      </c>
      <c r="N78" s="40">
        <f t="shared" si="24"/>
        <v>0</v>
      </c>
      <c r="O78" s="40">
        <f t="shared" si="24"/>
        <v>12284856.175037136</v>
      </c>
      <c r="P78" s="40"/>
      <c r="Q78" s="40"/>
      <c r="R78" s="40">
        <f>SUM(R7:R76)</f>
        <v>6707.0907361927821</v>
      </c>
      <c r="S78" s="222"/>
      <c r="T78" s="40">
        <f t="shared" ref="T78:AD78" si="25">SUM(T7:T76)</f>
        <v>1406.3004908302112</v>
      </c>
      <c r="U78" s="40">
        <f t="shared" si="25"/>
        <v>0</v>
      </c>
      <c r="V78" s="40">
        <f t="shared" si="25"/>
        <v>2086.9097756797519</v>
      </c>
      <c r="W78" s="40">
        <f t="shared" si="25"/>
        <v>0</v>
      </c>
      <c r="X78" s="40">
        <f t="shared" si="25"/>
        <v>3693.4021368883004</v>
      </c>
      <c r="Y78" s="40">
        <f t="shared" si="25"/>
        <v>0</v>
      </c>
      <c r="Z78" s="40">
        <f t="shared" si="25"/>
        <v>2656.399301149826</v>
      </c>
      <c r="AA78" s="40">
        <f t="shared" si="25"/>
        <v>0</v>
      </c>
      <c r="AB78" s="40">
        <f t="shared" si="25"/>
        <v>1873.8551884238548</v>
      </c>
      <c r="AC78" s="40">
        <f t="shared" si="25"/>
        <v>0</v>
      </c>
      <c r="AD78" s="40">
        <f t="shared" si="25"/>
        <v>1125.4733107362049</v>
      </c>
    </row>
    <row r="79" spans="1:31" x14ac:dyDescent="0.2">
      <c r="A79" s="18"/>
      <c r="B79" s="19"/>
      <c r="C79" s="34"/>
      <c r="D79" s="34"/>
      <c r="E79" s="34"/>
      <c r="F79" s="34"/>
      <c r="G79" s="34"/>
      <c r="H79" s="34"/>
      <c r="I79" s="34"/>
      <c r="J79" s="34"/>
      <c r="K79" s="34"/>
      <c r="L79" s="34"/>
      <c r="M79" s="35"/>
      <c r="N79" s="35"/>
      <c r="S79" s="18"/>
      <c r="T79" s="18"/>
      <c r="U79" s="18"/>
      <c r="V79" s="18"/>
      <c r="W79" s="18"/>
      <c r="X79" s="18"/>
      <c r="Y79" s="18"/>
    </row>
    <row r="80" spans="1:31" x14ac:dyDescent="0.2">
      <c r="A80" s="18" t="s">
        <v>127</v>
      </c>
      <c r="B80" s="19">
        <v>5402</v>
      </c>
      <c r="C80" s="34">
        <v>210.00665680473367</v>
      </c>
      <c r="D80" s="34">
        <v>12.018031555221633</v>
      </c>
      <c r="E80" s="34">
        <v>146.2193839218628</v>
      </c>
      <c r="F80" s="34">
        <v>6.0090157776108235</v>
      </c>
      <c r="G80" s="34">
        <v>17.025544703230622</v>
      </c>
      <c r="H80" s="34">
        <v>8.0120210368144225</v>
      </c>
      <c r="I80" s="34">
        <v>4.0060105184072112</v>
      </c>
      <c r="J80" s="34">
        <f>SUM(C80:I80)</f>
        <v>403.29666431788115</v>
      </c>
      <c r="K80" s="34"/>
      <c r="L80" s="34">
        <f t="shared" ref="L80:L92" si="26">C$2*C80</f>
        <v>150199.42911002072</v>
      </c>
      <c r="M80" s="35"/>
      <c r="N80" s="35">
        <f t="shared" ref="N80:N92" si="27">D$2*D80+E$2*E80+F$2*F80+G$2*G80+H$2*H80+I$2*I80</f>
        <v>45417.095010713332</v>
      </c>
      <c r="O80" s="36">
        <f>K80+L80+M80+N80</f>
        <v>195616.52412073404</v>
      </c>
      <c r="P80" s="36"/>
      <c r="Q80" s="36"/>
      <c r="S80" s="18">
        <f>C80</f>
        <v>210.00665680473367</v>
      </c>
      <c r="T80" s="18"/>
      <c r="U80" s="18">
        <f>D80</f>
        <v>12.018031555221633</v>
      </c>
      <c r="V80" s="18"/>
      <c r="W80" s="18">
        <f>E80</f>
        <v>146.2193839218628</v>
      </c>
      <c r="X80" s="18"/>
      <c r="Y80" s="18">
        <f>F80</f>
        <v>6.0090157776108235</v>
      </c>
      <c r="AA80" s="20">
        <f>G80</f>
        <v>17.025544703230622</v>
      </c>
      <c r="AC80" s="20">
        <f>H80</f>
        <v>8.0120210368144225</v>
      </c>
      <c r="AE80" s="20">
        <f>I80</f>
        <v>4.0060105184072112</v>
      </c>
    </row>
    <row r="81" spans="1:31" x14ac:dyDescent="0.2">
      <c r="A81" s="18" t="s">
        <v>116</v>
      </c>
      <c r="B81" s="19">
        <v>4608</v>
      </c>
      <c r="C81" s="34">
        <v>317.93023255813955</v>
      </c>
      <c r="D81" s="34">
        <v>58.104129263913791</v>
      </c>
      <c r="E81" s="34">
        <v>61.109515260323278</v>
      </c>
      <c r="F81" s="34">
        <v>56.100538599641176</v>
      </c>
      <c r="G81" s="34">
        <v>58.104129263913791</v>
      </c>
      <c r="H81" s="34">
        <v>217.38958707360885</v>
      </c>
      <c r="I81" s="34">
        <v>9.0161579892280184</v>
      </c>
      <c r="J81" s="34">
        <f t="shared" ref="J81:J92" si="28">SUM(C81:I81)</f>
        <v>777.75429000876841</v>
      </c>
      <c r="K81" s="34"/>
      <c r="L81" s="34">
        <f t="shared" si="26"/>
        <v>227387.74167263589</v>
      </c>
      <c r="M81" s="35"/>
      <c r="N81" s="35">
        <f t="shared" si="27"/>
        <v>223161.64509589825</v>
      </c>
      <c r="O81" s="36">
        <f t="shared" ref="O81:O92" si="29">K81+L81+M81+N81</f>
        <v>450549.38676853414</v>
      </c>
      <c r="P81" s="36"/>
      <c r="Q81" s="36"/>
      <c r="S81" s="18">
        <f t="shared" ref="S81:S92" si="30">C81</f>
        <v>317.93023255813955</v>
      </c>
      <c r="T81" s="18"/>
      <c r="U81" s="18">
        <f t="shared" ref="U81:U92" si="31">D81</f>
        <v>58.104129263913791</v>
      </c>
      <c r="V81" s="18"/>
      <c r="W81" s="18">
        <f t="shared" ref="W81:W92" si="32">E81</f>
        <v>61.109515260323278</v>
      </c>
      <c r="X81" s="18"/>
      <c r="Y81" s="18">
        <f t="shared" ref="Y81:Y92" si="33">F81</f>
        <v>56.100538599641176</v>
      </c>
      <c r="AA81" s="20">
        <f t="shared" ref="AA81:AA92" si="34">G81</f>
        <v>58.104129263913791</v>
      </c>
      <c r="AC81" s="20">
        <f t="shared" ref="AC81:AC92" si="35">H81</f>
        <v>217.38958707360885</v>
      </c>
      <c r="AE81" s="20">
        <f t="shared" ref="AE81:AE92" si="36">I81</f>
        <v>9.0161579892280184</v>
      </c>
    </row>
    <row r="82" spans="1:31" x14ac:dyDescent="0.2">
      <c r="A82" s="18" t="s">
        <v>172</v>
      </c>
      <c r="B82" s="19">
        <v>4178</v>
      </c>
      <c r="C82" s="34">
        <v>494.20140515222477</v>
      </c>
      <c r="D82" s="34">
        <v>62.333589546502658</v>
      </c>
      <c r="E82" s="34">
        <v>62.333589546502658</v>
      </c>
      <c r="F82" s="34">
        <v>450.41045349730939</v>
      </c>
      <c r="G82" s="34">
        <v>187.00076863950812</v>
      </c>
      <c r="H82" s="34">
        <v>65.349730976172225</v>
      </c>
      <c r="I82" s="34">
        <v>60.322828593389715</v>
      </c>
      <c r="J82" s="34">
        <f t="shared" si="28"/>
        <v>1381.9523659516094</v>
      </c>
      <c r="K82" s="34"/>
      <c r="L82" s="34">
        <f t="shared" si="26"/>
        <v>353459.12386126351</v>
      </c>
      <c r="M82" s="35"/>
      <c r="N82" s="35">
        <f t="shared" si="27"/>
        <v>307012.42125253472</v>
      </c>
      <c r="O82" s="36">
        <f t="shared" si="29"/>
        <v>660471.54511379823</v>
      </c>
      <c r="P82" s="36"/>
      <c r="Q82" s="36"/>
      <c r="S82" s="18">
        <f t="shared" si="30"/>
        <v>494.20140515222477</v>
      </c>
      <c r="T82" s="18"/>
      <c r="U82" s="18">
        <f t="shared" si="31"/>
        <v>62.333589546502658</v>
      </c>
      <c r="V82" s="18"/>
      <c r="W82" s="18">
        <f t="shared" si="32"/>
        <v>62.333589546502658</v>
      </c>
      <c r="X82" s="18"/>
      <c r="Y82" s="18">
        <f t="shared" si="33"/>
        <v>450.41045349730939</v>
      </c>
      <c r="AA82" s="20">
        <f t="shared" si="34"/>
        <v>187.00076863950812</v>
      </c>
      <c r="AC82" s="20">
        <f t="shared" si="35"/>
        <v>65.349730976172225</v>
      </c>
      <c r="AE82" s="20">
        <f t="shared" si="36"/>
        <v>60.322828593389715</v>
      </c>
    </row>
    <row r="83" spans="1:31" x14ac:dyDescent="0.2">
      <c r="A83" s="18" t="s">
        <v>118</v>
      </c>
      <c r="B83" s="19">
        <v>4181</v>
      </c>
      <c r="C83" s="34">
        <v>270.17614678899082</v>
      </c>
      <c r="D83" s="34">
        <v>112.52358926919547</v>
      </c>
      <c r="E83" s="34">
        <v>55.274745605920494</v>
      </c>
      <c r="F83" s="34">
        <v>184.57816836262683</v>
      </c>
      <c r="G83" s="34">
        <v>57.248843663274762</v>
      </c>
      <c r="H83" s="34">
        <v>70.080481036077728</v>
      </c>
      <c r="I83" s="34">
        <v>4.9352451433857576</v>
      </c>
      <c r="J83" s="34">
        <f t="shared" si="28"/>
        <v>754.81721986947184</v>
      </c>
      <c r="K83" s="34"/>
      <c r="L83" s="34">
        <f t="shared" si="26"/>
        <v>193233.41280835474</v>
      </c>
      <c r="M83" s="35"/>
      <c r="N83" s="35">
        <f t="shared" si="27"/>
        <v>149784.90397736308</v>
      </c>
      <c r="O83" s="36">
        <f t="shared" si="29"/>
        <v>343018.31678571785</v>
      </c>
      <c r="P83" s="36"/>
      <c r="Q83" s="36"/>
      <c r="S83" s="18">
        <f t="shared" si="30"/>
        <v>270.17614678899082</v>
      </c>
      <c r="T83" s="18"/>
      <c r="U83" s="18">
        <f t="shared" si="31"/>
        <v>112.52358926919547</v>
      </c>
      <c r="V83" s="18"/>
      <c r="W83" s="18">
        <f t="shared" si="32"/>
        <v>55.274745605920494</v>
      </c>
      <c r="X83" s="18"/>
      <c r="Y83" s="18">
        <f t="shared" si="33"/>
        <v>184.57816836262683</v>
      </c>
      <c r="AA83" s="20">
        <f t="shared" si="34"/>
        <v>57.248843663274762</v>
      </c>
      <c r="AC83" s="20">
        <f t="shared" si="35"/>
        <v>70.080481036077728</v>
      </c>
      <c r="AE83" s="20">
        <f t="shared" si="36"/>
        <v>4.9352451433857576</v>
      </c>
    </row>
    <row r="84" spans="1:31" x14ac:dyDescent="0.2">
      <c r="A84" s="18" t="s">
        <v>119</v>
      </c>
      <c r="B84" s="19">
        <v>4182</v>
      </c>
      <c r="C84" s="34">
        <v>176.6656626506024</v>
      </c>
      <c r="D84" s="34">
        <v>134.09773887673234</v>
      </c>
      <c r="E84" s="34">
        <v>52.037928519329007</v>
      </c>
      <c r="F84" s="34">
        <v>32.02334062727931</v>
      </c>
      <c r="G84" s="34">
        <v>14.010211524434741</v>
      </c>
      <c r="H84" s="34">
        <v>5.003646973012402</v>
      </c>
      <c r="I84" s="34">
        <v>2.0014587892049556</v>
      </c>
      <c r="J84" s="34">
        <f t="shared" si="28"/>
        <v>415.83998796059512</v>
      </c>
      <c r="K84" s="34"/>
      <c r="L84" s="34">
        <f t="shared" si="26"/>
        <v>126353.52648909877</v>
      </c>
      <c r="M84" s="35"/>
      <c r="N84" s="35">
        <f t="shared" si="27"/>
        <v>41617.028962461613</v>
      </c>
      <c r="O84" s="36">
        <f t="shared" si="29"/>
        <v>167970.55545156039</v>
      </c>
      <c r="P84" s="36"/>
      <c r="Q84" s="36"/>
      <c r="S84" s="18">
        <f t="shared" si="30"/>
        <v>176.6656626506024</v>
      </c>
      <c r="T84" s="18"/>
      <c r="U84" s="18">
        <f t="shared" si="31"/>
        <v>134.09773887673234</v>
      </c>
      <c r="V84" s="18"/>
      <c r="W84" s="18">
        <f t="shared" si="32"/>
        <v>52.037928519329007</v>
      </c>
      <c r="X84" s="18"/>
      <c r="Y84" s="18">
        <f t="shared" si="33"/>
        <v>32.02334062727931</v>
      </c>
      <c r="AA84" s="20">
        <f t="shared" si="34"/>
        <v>14.010211524434741</v>
      </c>
      <c r="AC84" s="20">
        <f t="shared" si="35"/>
        <v>5.003646973012402</v>
      </c>
      <c r="AE84" s="20">
        <f t="shared" si="36"/>
        <v>2.0014587892049556</v>
      </c>
    </row>
    <row r="85" spans="1:31" x14ac:dyDescent="0.2">
      <c r="A85" s="18" t="s">
        <v>120</v>
      </c>
      <c r="B85" s="221">
        <v>4001</v>
      </c>
      <c r="C85" s="34">
        <v>470.4886769964242</v>
      </c>
      <c r="D85" s="34">
        <v>36.236842105263172</v>
      </c>
      <c r="E85" s="34">
        <v>38.25</v>
      </c>
      <c r="F85" s="34">
        <v>77.506578947368254</v>
      </c>
      <c r="G85" s="34">
        <v>212.38815789473654</v>
      </c>
      <c r="H85" s="34">
        <v>141.92763157894763</v>
      </c>
      <c r="I85" s="34">
        <v>177.15789473684205</v>
      </c>
      <c r="J85" s="34">
        <f t="shared" si="28"/>
        <v>1153.9557822595818</v>
      </c>
      <c r="K85" s="34"/>
      <c r="L85" s="34">
        <f t="shared" si="26"/>
        <v>336499.47941078304</v>
      </c>
      <c r="M85" s="35"/>
      <c r="N85" s="35">
        <f t="shared" si="27"/>
        <v>349557.6942779189</v>
      </c>
      <c r="O85" s="36">
        <f t="shared" si="29"/>
        <v>686057.17368870194</v>
      </c>
      <c r="P85" s="36"/>
      <c r="Q85" s="36"/>
      <c r="S85" s="18">
        <f t="shared" si="30"/>
        <v>470.4886769964242</v>
      </c>
      <c r="T85" s="18"/>
      <c r="U85" s="18">
        <f t="shared" si="31"/>
        <v>36.236842105263172</v>
      </c>
      <c r="V85" s="18"/>
      <c r="W85" s="18">
        <f t="shared" si="32"/>
        <v>38.25</v>
      </c>
      <c r="X85" s="18"/>
      <c r="Y85" s="18">
        <f t="shared" si="33"/>
        <v>77.506578947368254</v>
      </c>
      <c r="AA85" s="20">
        <f t="shared" si="34"/>
        <v>212.38815789473654</v>
      </c>
      <c r="AC85" s="20">
        <f t="shared" si="35"/>
        <v>141.92763157894763</v>
      </c>
      <c r="AE85" s="20">
        <f t="shared" si="36"/>
        <v>177.15789473684205</v>
      </c>
    </row>
    <row r="86" spans="1:31" x14ac:dyDescent="0.2">
      <c r="A86" s="18" t="s">
        <v>173</v>
      </c>
      <c r="B86" s="19">
        <v>5406</v>
      </c>
      <c r="C86" s="34">
        <v>278.95027624309392</v>
      </c>
      <c r="D86" s="34">
        <v>94.444444444444343</v>
      </c>
      <c r="E86" s="34">
        <v>154.72813238770689</v>
      </c>
      <c r="F86" s="34">
        <v>222.04491725768338</v>
      </c>
      <c r="G86" s="34">
        <v>41.193853427896002</v>
      </c>
      <c r="H86" s="34">
        <v>56.264775413711597</v>
      </c>
      <c r="I86" s="34">
        <v>14.066193853427899</v>
      </c>
      <c r="J86" s="34">
        <f t="shared" si="28"/>
        <v>861.69259302796399</v>
      </c>
      <c r="K86" s="34"/>
      <c r="L86" s="34">
        <f t="shared" si="26"/>
        <v>199508.7816704431</v>
      </c>
      <c r="M86" s="35"/>
      <c r="N86" s="35">
        <f t="shared" si="27"/>
        <v>167667.89896141199</v>
      </c>
      <c r="O86" s="36">
        <f t="shared" si="29"/>
        <v>367176.6806318551</v>
      </c>
      <c r="P86" s="36"/>
      <c r="Q86" s="36"/>
      <c r="S86" s="18">
        <f t="shared" si="30"/>
        <v>278.95027624309392</v>
      </c>
      <c r="T86" s="18"/>
      <c r="U86" s="18">
        <f t="shared" si="31"/>
        <v>94.444444444444343</v>
      </c>
      <c r="V86" s="18"/>
      <c r="W86" s="18">
        <f t="shared" si="32"/>
        <v>154.72813238770689</v>
      </c>
      <c r="X86" s="18"/>
      <c r="Y86" s="18">
        <f t="shared" si="33"/>
        <v>222.04491725768338</v>
      </c>
      <c r="AA86" s="20">
        <f t="shared" si="34"/>
        <v>41.193853427896002</v>
      </c>
      <c r="AC86" s="20">
        <f t="shared" si="35"/>
        <v>56.264775413711597</v>
      </c>
      <c r="AE86" s="20">
        <f t="shared" si="36"/>
        <v>14.066193853427899</v>
      </c>
    </row>
    <row r="87" spans="1:31" x14ac:dyDescent="0.2">
      <c r="A87" s="18" t="s">
        <v>174</v>
      </c>
      <c r="B87" s="19">
        <v>5407</v>
      </c>
      <c r="C87" s="34">
        <v>419.37183383991896</v>
      </c>
      <c r="D87" s="34">
        <v>46.999999999999986</v>
      </c>
      <c r="E87" s="34">
        <v>71.000000000000014</v>
      </c>
      <c r="F87" s="34">
        <v>149.00000000000006</v>
      </c>
      <c r="G87" s="34">
        <v>220.99999999999991</v>
      </c>
      <c r="H87" s="34">
        <v>128.99999999999986</v>
      </c>
      <c r="I87" s="34">
        <v>44.000000000000007</v>
      </c>
      <c r="J87" s="34">
        <f t="shared" si="28"/>
        <v>1080.3718338399187</v>
      </c>
      <c r="K87" s="34"/>
      <c r="L87" s="34">
        <f t="shared" si="26"/>
        <v>299940.0637387723</v>
      </c>
      <c r="M87" s="35"/>
      <c r="N87" s="35">
        <f t="shared" si="27"/>
        <v>270862.86467445432</v>
      </c>
      <c r="O87" s="36">
        <f t="shared" si="29"/>
        <v>570802.92841322662</v>
      </c>
      <c r="P87" s="36"/>
      <c r="Q87" s="36"/>
      <c r="S87" s="18">
        <f t="shared" si="30"/>
        <v>419.37183383991896</v>
      </c>
      <c r="T87" s="18"/>
      <c r="U87" s="18">
        <f t="shared" si="31"/>
        <v>46.999999999999986</v>
      </c>
      <c r="V87" s="18"/>
      <c r="W87" s="18">
        <f t="shared" si="32"/>
        <v>71.000000000000014</v>
      </c>
      <c r="X87" s="18"/>
      <c r="Y87" s="18">
        <f t="shared" si="33"/>
        <v>149.00000000000006</v>
      </c>
      <c r="AA87" s="20">
        <f t="shared" si="34"/>
        <v>220.99999999999991</v>
      </c>
      <c r="AC87" s="20">
        <f t="shared" si="35"/>
        <v>128.99999999999986</v>
      </c>
      <c r="AE87" s="20">
        <f t="shared" si="36"/>
        <v>44.000000000000007</v>
      </c>
    </row>
    <row r="88" spans="1:31" x14ac:dyDescent="0.2">
      <c r="A88" s="18" t="s">
        <v>123</v>
      </c>
      <c r="B88" s="19">
        <v>4607</v>
      </c>
      <c r="C88" s="34">
        <v>355.09198312236288</v>
      </c>
      <c r="D88" s="34">
        <v>61.153583617747458</v>
      </c>
      <c r="E88" s="34">
        <v>121.32081911262816</v>
      </c>
      <c r="F88" s="34">
        <v>218.96928327645048</v>
      </c>
      <c r="G88" s="34">
        <v>154.85665529010276</v>
      </c>
      <c r="H88" s="34">
        <v>102.58020477815698</v>
      </c>
      <c r="I88" s="34">
        <v>119.34812286689463</v>
      </c>
      <c r="J88" s="34">
        <f t="shared" si="28"/>
        <v>1133.3206520643432</v>
      </c>
      <c r="K88" s="34"/>
      <c r="L88" s="34">
        <f t="shared" si="26"/>
        <v>253966.29782128803</v>
      </c>
      <c r="M88" s="35"/>
      <c r="N88" s="35">
        <f t="shared" si="27"/>
        <v>313002.89553752798</v>
      </c>
      <c r="O88" s="36">
        <f t="shared" si="29"/>
        <v>566969.19335881597</v>
      </c>
      <c r="P88" s="36"/>
      <c r="Q88" s="36"/>
      <c r="S88" s="18">
        <f t="shared" si="30"/>
        <v>355.09198312236288</v>
      </c>
      <c r="T88" s="18"/>
      <c r="U88" s="18">
        <f t="shared" si="31"/>
        <v>61.153583617747458</v>
      </c>
      <c r="V88" s="18"/>
      <c r="W88" s="18">
        <f t="shared" si="32"/>
        <v>121.32081911262816</v>
      </c>
      <c r="X88" s="18"/>
      <c r="Y88" s="18">
        <f t="shared" si="33"/>
        <v>218.96928327645048</v>
      </c>
      <c r="AA88" s="20">
        <f t="shared" si="34"/>
        <v>154.85665529010276</v>
      </c>
      <c r="AC88" s="20">
        <f t="shared" si="35"/>
        <v>102.58020477815698</v>
      </c>
      <c r="AE88" s="20">
        <f t="shared" si="36"/>
        <v>119.34812286689463</v>
      </c>
    </row>
    <row r="89" spans="1:31" x14ac:dyDescent="0.2">
      <c r="A89" s="18" t="s">
        <v>124</v>
      </c>
      <c r="B89" s="221">
        <v>4002</v>
      </c>
      <c r="C89" s="34">
        <v>367.77108433734941</v>
      </c>
      <c r="D89" s="34">
        <v>67.269076305220878</v>
      </c>
      <c r="E89" s="34">
        <v>13.052208835341375</v>
      </c>
      <c r="F89" s="34">
        <v>201.80722891566299</v>
      </c>
      <c r="G89" s="34">
        <v>158.6345381526105</v>
      </c>
      <c r="H89" s="34">
        <v>27.108433734939748</v>
      </c>
      <c r="I89" s="34">
        <v>105.42168674698799</v>
      </c>
      <c r="J89" s="34">
        <f t="shared" si="28"/>
        <v>941.06425702811293</v>
      </c>
      <c r="K89" s="34"/>
      <c r="L89" s="34">
        <f t="shared" si="26"/>
        <v>263034.5520999601</v>
      </c>
      <c r="M89" s="35"/>
      <c r="N89" s="35">
        <f t="shared" si="27"/>
        <v>223245.82200348092</v>
      </c>
      <c r="O89" s="36">
        <f t="shared" si="29"/>
        <v>486280.37410344102</v>
      </c>
      <c r="P89" s="36"/>
      <c r="Q89" s="36"/>
      <c r="S89" s="18">
        <f t="shared" si="30"/>
        <v>367.77108433734941</v>
      </c>
      <c r="T89" s="18"/>
      <c r="U89" s="18">
        <f t="shared" si="31"/>
        <v>67.269076305220878</v>
      </c>
      <c r="V89" s="18"/>
      <c r="W89" s="18">
        <f t="shared" si="32"/>
        <v>13.052208835341375</v>
      </c>
      <c r="X89" s="18"/>
      <c r="Y89" s="18">
        <f t="shared" si="33"/>
        <v>201.80722891566299</v>
      </c>
      <c r="AA89" s="20">
        <f t="shared" si="34"/>
        <v>158.6345381526105</v>
      </c>
      <c r="AC89" s="20">
        <f t="shared" si="35"/>
        <v>27.108433734939748</v>
      </c>
      <c r="AE89" s="20">
        <f t="shared" si="36"/>
        <v>105.42168674698799</v>
      </c>
    </row>
    <row r="90" spans="1:31" x14ac:dyDescent="0.2">
      <c r="A90" s="18" t="s">
        <v>175</v>
      </c>
      <c r="B90" s="19">
        <v>4177</v>
      </c>
      <c r="C90" s="34">
        <v>306.62764227642276</v>
      </c>
      <c r="D90" s="34">
        <v>9.2962356792144245</v>
      </c>
      <c r="E90" s="34">
        <v>109.69558101472998</v>
      </c>
      <c r="F90" s="34">
        <v>158.03600654664464</v>
      </c>
      <c r="G90" s="34">
        <v>153.38788870703772</v>
      </c>
      <c r="H90" s="34">
        <v>56.707037643207876</v>
      </c>
      <c r="I90" s="34">
        <v>46.481178396072011</v>
      </c>
      <c r="J90" s="34">
        <f t="shared" si="28"/>
        <v>840.23157026332944</v>
      </c>
      <c r="K90" s="34"/>
      <c r="L90" s="34">
        <f t="shared" si="26"/>
        <v>219303.98550219784</v>
      </c>
      <c r="M90" s="35"/>
      <c r="N90" s="35">
        <f t="shared" si="27"/>
        <v>199785.33179199827</v>
      </c>
      <c r="O90" s="36">
        <f t="shared" si="29"/>
        <v>419089.31729419611</v>
      </c>
      <c r="P90" s="36"/>
      <c r="Q90" s="36"/>
      <c r="S90" s="18">
        <f t="shared" si="30"/>
        <v>306.62764227642276</v>
      </c>
      <c r="T90" s="18"/>
      <c r="U90" s="18">
        <f t="shared" si="31"/>
        <v>9.2962356792144245</v>
      </c>
      <c r="V90" s="18"/>
      <c r="W90" s="18">
        <f t="shared" si="32"/>
        <v>109.69558101472998</v>
      </c>
      <c r="X90" s="18"/>
      <c r="Y90" s="18">
        <f t="shared" si="33"/>
        <v>158.03600654664464</v>
      </c>
      <c r="AA90" s="20">
        <f t="shared" si="34"/>
        <v>153.38788870703772</v>
      </c>
      <c r="AC90" s="20">
        <f t="shared" si="35"/>
        <v>56.707037643207876</v>
      </c>
      <c r="AE90" s="20">
        <f t="shared" si="36"/>
        <v>46.481178396072011</v>
      </c>
    </row>
    <row r="91" spans="1:31" x14ac:dyDescent="0.2">
      <c r="A91" s="18" t="s">
        <v>126</v>
      </c>
      <c r="B91" s="19">
        <v>5412</v>
      </c>
      <c r="C91" s="34">
        <v>290.25833979829326</v>
      </c>
      <c r="D91" s="34">
        <v>204.32876712328815</v>
      </c>
      <c r="E91" s="34">
        <v>217.34971796937913</v>
      </c>
      <c r="F91" s="34">
        <v>109.17566478646252</v>
      </c>
      <c r="G91" s="34">
        <v>19.030620467365026</v>
      </c>
      <c r="H91" s="34">
        <v>25.040290088638191</v>
      </c>
      <c r="I91" s="34">
        <v>7.0112812248186938</v>
      </c>
      <c r="J91" s="34">
        <f t="shared" si="28"/>
        <v>872.19468145824499</v>
      </c>
      <c r="K91" s="34"/>
      <c r="L91" s="34">
        <f t="shared" si="26"/>
        <v>207596.45239561456</v>
      </c>
      <c r="M91" s="35"/>
      <c r="N91" s="35">
        <f t="shared" si="27"/>
        <v>121173.38914019836</v>
      </c>
      <c r="O91" s="36">
        <f t="shared" si="29"/>
        <v>328769.84153581294</v>
      </c>
      <c r="P91" s="36"/>
      <c r="Q91" s="36"/>
      <c r="S91" s="18">
        <f t="shared" si="30"/>
        <v>290.25833979829326</v>
      </c>
      <c r="T91" s="18"/>
      <c r="U91" s="18">
        <f t="shared" si="31"/>
        <v>204.32876712328815</v>
      </c>
      <c r="V91" s="18"/>
      <c r="W91" s="18">
        <f t="shared" si="32"/>
        <v>217.34971796937913</v>
      </c>
      <c r="X91" s="18"/>
      <c r="Y91" s="18">
        <f t="shared" si="33"/>
        <v>109.17566478646252</v>
      </c>
      <c r="AA91" s="20">
        <f t="shared" si="34"/>
        <v>19.030620467365026</v>
      </c>
      <c r="AC91" s="20">
        <f t="shared" si="35"/>
        <v>25.040290088638191</v>
      </c>
      <c r="AE91" s="20">
        <f t="shared" si="36"/>
        <v>7.0112812248186938</v>
      </c>
    </row>
    <row r="92" spans="1:31" x14ac:dyDescent="0.2">
      <c r="A92" s="18" t="s">
        <v>125</v>
      </c>
      <c r="B92" s="19">
        <v>5414</v>
      </c>
      <c r="C92" s="34">
        <v>169.59614457831324</v>
      </c>
      <c r="D92" s="34">
        <v>31.659574468085115</v>
      </c>
      <c r="E92" s="34">
        <v>87.063829787234042</v>
      </c>
      <c r="F92" s="34">
        <v>116.7446808510639</v>
      </c>
      <c r="G92" s="34">
        <v>31.659574468085115</v>
      </c>
      <c r="H92" s="34">
        <v>28.691489361702086</v>
      </c>
      <c r="I92" s="34">
        <v>10.882978723404229</v>
      </c>
      <c r="J92" s="34">
        <f t="shared" si="28"/>
        <v>476.29827223788772</v>
      </c>
      <c r="K92" s="34"/>
      <c r="L92" s="34">
        <f t="shared" si="26"/>
        <v>121297.31734460431</v>
      </c>
      <c r="M92" s="35"/>
      <c r="N92" s="35">
        <f t="shared" si="27"/>
        <v>93213.062024640269</v>
      </c>
      <c r="O92" s="36">
        <f t="shared" si="29"/>
        <v>214510.37936924456</v>
      </c>
      <c r="P92" s="36"/>
      <c r="Q92" s="36"/>
      <c r="S92" s="18">
        <f t="shared" si="30"/>
        <v>169.59614457831324</v>
      </c>
      <c r="T92" s="18"/>
      <c r="U92" s="18">
        <f t="shared" si="31"/>
        <v>31.659574468085115</v>
      </c>
      <c r="V92" s="18"/>
      <c r="W92" s="18">
        <f t="shared" si="32"/>
        <v>87.063829787234042</v>
      </c>
      <c r="X92" s="18"/>
      <c r="Y92" s="18">
        <f t="shared" si="33"/>
        <v>116.7446808510639</v>
      </c>
      <c r="AA92" s="20">
        <f t="shared" si="34"/>
        <v>31.659574468085115</v>
      </c>
      <c r="AC92" s="20">
        <f t="shared" si="35"/>
        <v>28.691489361702086</v>
      </c>
      <c r="AE92" s="20">
        <f t="shared" si="36"/>
        <v>10.882978723404229</v>
      </c>
    </row>
    <row r="93" spans="1:31" x14ac:dyDescent="0.2">
      <c r="A93" s="18"/>
      <c r="B93" s="19"/>
      <c r="C93"/>
      <c r="D93"/>
      <c r="E93"/>
      <c r="F93"/>
      <c r="G93"/>
      <c r="H93"/>
      <c r="I93"/>
      <c r="J93" s="34"/>
      <c r="K93" s="34"/>
      <c r="L93" s="34"/>
      <c r="M93" s="35"/>
      <c r="N93" s="35"/>
    </row>
    <row r="94" spans="1:31" x14ac:dyDescent="0.2">
      <c r="A94" s="9" t="s">
        <v>176</v>
      </c>
      <c r="B94" s="9" t="s">
        <v>176</v>
      </c>
      <c r="C94" s="40">
        <f t="shared" ref="C94:I94" si="37">SUM(C80:C92)</f>
        <v>4127.1360851468698</v>
      </c>
      <c r="D94" s="40">
        <f t="shared" si="37"/>
        <v>930.46560225482938</v>
      </c>
      <c r="E94" s="40">
        <f t="shared" si="37"/>
        <v>1189.4354519609578</v>
      </c>
      <c r="F94" s="40">
        <f t="shared" si="37"/>
        <v>1982.4058774458035</v>
      </c>
      <c r="G94" s="40">
        <f t="shared" si="37"/>
        <v>1325.5407862021955</v>
      </c>
      <c r="H94" s="40">
        <f t="shared" si="37"/>
        <v>933.15532969498963</v>
      </c>
      <c r="I94" s="40">
        <f t="shared" si="37"/>
        <v>604.65103758206317</v>
      </c>
      <c r="J94" s="40">
        <f>SUM(J80:J92)</f>
        <v>11092.790170287708</v>
      </c>
      <c r="K94" s="40">
        <f t="shared" ref="K94:O94" si="38">SUM(K80:K92)</f>
        <v>0</v>
      </c>
      <c r="L94" s="40">
        <f t="shared" si="38"/>
        <v>2951780.1639250373</v>
      </c>
      <c r="M94" s="40">
        <f t="shared" si="38"/>
        <v>0</v>
      </c>
      <c r="N94" s="40">
        <f t="shared" si="38"/>
        <v>2505502.0527106021</v>
      </c>
      <c r="O94" s="40">
        <f t="shared" si="38"/>
        <v>5457282.2166356398</v>
      </c>
      <c r="P94" s="40"/>
      <c r="Q94" s="40"/>
      <c r="S94" s="40">
        <f t="shared" ref="S94:AE94" si="39">SUM(S80:S92)</f>
        <v>4127.1360851468698</v>
      </c>
      <c r="T94" s="222"/>
      <c r="U94" s="40">
        <f t="shared" si="39"/>
        <v>930.46560225482938</v>
      </c>
      <c r="V94" s="40">
        <f t="shared" si="39"/>
        <v>0</v>
      </c>
      <c r="W94" s="40">
        <f t="shared" si="39"/>
        <v>1189.4354519609578</v>
      </c>
      <c r="X94" s="40">
        <f t="shared" si="39"/>
        <v>0</v>
      </c>
      <c r="Y94" s="40">
        <f t="shared" si="39"/>
        <v>1982.4058774458035</v>
      </c>
      <c r="Z94" s="40">
        <f t="shared" si="39"/>
        <v>0</v>
      </c>
      <c r="AA94" s="40">
        <f t="shared" si="39"/>
        <v>1325.5407862021955</v>
      </c>
      <c r="AB94" s="40">
        <f t="shared" si="39"/>
        <v>0</v>
      </c>
      <c r="AC94" s="40">
        <f t="shared" si="39"/>
        <v>933.15532969498963</v>
      </c>
      <c r="AD94" s="40">
        <f t="shared" si="39"/>
        <v>0</v>
      </c>
      <c r="AE94" s="40">
        <f t="shared" si="39"/>
        <v>604.65103758206317</v>
      </c>
    </row>
    <row r="95" spans="1:31" x14ac:dyDescent="0.2">
      <c r="A95" s="18"/>
      <c r="B95" s="19"/>
      <c r="C95" s="37"/>
      <c r="D95" s="37"/>
      <c r="E95" s="37"/>
      <c r="F95" s="37"/>
      <c r="G95" s="37"/>
      <c r="H95" s="37"/>
      <c r="I95" s="37"/>
      <c r="J95" s="37"/>
      <c r="K95" s="34"/>
      <c r="L95" s="34"/>
      <c r="M95" s="35"/>
      <c r="N95" s="35"/>
      <c r="S95" s="20"/>
      <c r="T95" s="20"/>
      <c r="U95" s="20"/>
      <c r="V95" s="20"/>
      <c r="W95" s="20"/>
      <c r="X95" s="20"/>
      <c r="Y95" s="20"/>
      <c r="Z95" s="20"/>
    </row>
    <row r="96" spans="1:31" x14ac:dyDescent="0.2">
      <c r="A96" s="9" t="s">
        <v>177</v>
      </c>
      <c r="B96" s="9" t="s">
        <v>178</v>
      </c>
      <c r="C96" s="40">
        <f t="shared" ref="C96:I96" si="40">C94+C78</f>
        <v>10834.226821339653</v>
      </c>
      <c r="D96" s="40">
        <f t="shared" si="40"/>
        <v>2336.7660930850407</v>
      </c>
      <c r="E96" s="40">
        <f t="shared" si="40"/>
        <v>3276.3452276407097</v>
      </c>
      <c r="F96" s="40">
        <f t="shared" si="40"/>
        <v>5675.808014334104</v>
      </c>
      <c r="G96" s="40">
        <f t="shared" si="40"/>
        <v>3981.9400873520217</v>
      </c>
      <c r="H96" s="40">
        <f t="shared" si="40"/>
        <v>2807.0105181188446</v>
      </c>
      <c r="I96" s="40">
        <f t="shared" si="40"/>
        <v>1730.1243483182679</v>
      </c>
      <c r="J96" s="40">
        <f>J94+J78</f>
        <v>30642.22111018865</v>
      </c>
      <c r="K96" s="40">
        <f t="shared" ref="K96:O96" si="41">K94+K78</f>
        <v>6263495.3025567224</v>
      </c>
      <c r="L96" s="40">
        <f t="shared" si="41"/>
        <v>2951780.1639250373</v>
      </c>
      <c r="M96" s="40">
        <f t="shared" si="41"/>
        <v>6021360.872480412</v>
      </c>
      <c r="N96" s="40">
        <f t="shared" si="41"/>
        <v>2505502.0527106021</v>
      </c>
      <c r="O96" s="40">
        <f t="shared" si="41"/>
        <v>17742138.391672775</v>
      </c>
      <c r="P96" s="40">
        <v>17742138.391672775</v>
      </c>
      <c r="Q96" s="40"/>
      <c r="S96" s="222"/>
      <c r="T96" s="222"/>
      <c r="U96" s="222"/>
      <c r="V96" s="222"/>
      <c r="W96" s="222"/>
      <c r="X96" s="222"/>
      <c r="Y96" s="222"/>
      <c r="Z96" s="222"/>
    </row>
    <row r="97" spans="1:17" x14ac:dyDescent="0.2">
      <c r="A97" s="586" t="s">
        <v>867</v>
      </c>
      <c r="B97" s="646">
        <v>12345</v>
      </c>
      <c r="C97" s="39"/>
      <c r="D97" s="39"/>
      <c r="E97" s="39"/>
      <c r="F97" s="39"/>
      <c r="G97" s="39"/>
      <c r="H97" s="39"/>
      <c r="I97" s="39"/>
      <c r="J97" s="39"/>
      <c r="K97" s="39"/>
      <c r="L97" s="39"/>
      <c r="M97" s="39"/>
      <c r="N97" s="39"/>
      <c r="O97" s="39"/>
      <c r="P97" s="39"/>
      <c r="Q97" s="39"/>
    </row>
    <row r="98" spans="1:17" x14ac:dyDescent="0.2">
      <c r="A98" s="203" t="s">
        <v>259</v>
      </c>
      <c r="B98" s="204"/>
    </row>
    <row r="99" spans="1:17" x14ac:dyDescent="0.2">
      <c r="A99" s="205" t="s">
        <v>5</v>
      </c>
      <c r="B99" s="206" t="s">
        <v>7</v>
      </c>
    </row>
    <row r="100" spans="1:17" x14ac:dyDescent="0.2">
      <c r="A100" s="207">
        <f>D1</f>
        <v>117.30841547807324</v>
      </c>
      <c r="B100" s="208">
        <f>D2</f>
        <v>93.126835011549474</v>
      </c>
      <c r="C100" s="182"/>
      <c r="D100" s="182"/>
      <c r="E100" s="182"/>
      <c r="F100" s="182"/>
      <c r="G100" s="182"/>
      <c r="H100" s="182"/>
      <c r="I100" s="182"/>
      <c r="J100" s="37"/>
      <c r="K100" s="37"/>
      <c r="L100" s="37"/>
      <c r="M100" s="37"/>
      <c r="N100" s="37"/>
      <c r="O100" s="37"/>
      <c r="P100" s="37"/>
      <c r="Q100" s="37"/>
    </row>
    <row r="101" spans="1:17" x14ac:dyDescent="0.2">
      <c r="A101" s="207">
        <f>E1</f>
        <v>234.6255044064591</v>
      </c>
      <c r="B101" s="208">
        <f>E2</f>
        <v>186.68734253409619</v>
      </c>
      <c r="C101" s="194"/>
      <c r="D101" s="194"/>
      <c r="E101" s="194"/>
      <c r="F101" s="194"/>
      <c r="G101" s="194"/>
      <c r="H101" s="194"/>
      <c r="I101" s="194"/>
    </row>
    <row r="102" spans="1:17" x14ac:dyDescent="0.2">
      <c r="A102" s="207">
        <f>F1</f>
        <v>352.38493930078818</v>
      </c>
      <c r="B102" s="208">
        <f>F2</f>
        <v>279.82285099586556</v>
      </c>
    </row>
    <row r="103" spans="1:17" x14ac:dyDescent="0.2">
      <c r="A103" s="207">
        <f>G1</f>
        <v>469.69335477886142</v>
      </c>
      <c r="B103" s="208">
        <f>G2</f>
        <v>372.9496860074151</v>
      </c>
      <c r="C103" s="194"/>
      <c r="D103" s="194"/>
      <c r="E103" s="194"/>
      <c r="F103" s="194"/>
      <c r="G103" s="194"/>
      <c r="H103" s="194"/>
      <c r="I103" s="194"/>
    </row>
    <row r="104" spans="1:17" x14ac:dyDescent="0.2">
      <c r="A104" s="207">
        <f>H1</f>
        <v>939.39538300803542</v>
      </c>
      <c r="B104" s="208">
        <f>H2</f>
        <v>746.33304452582729</v>
      </c>
      <c r="C104" s="194"/>
      <c r="D104" s="194"/>
      <c r="E104" s="194"/>
      <c r="F104" s="194"/>
      <c r="G104" s="194"/>
      <c r="H104" s="194"/>
      <c r="I104" s="194"/>
    </row>
    <row r="105" spans="1:17" x14ac:dyDescent="0.2">
      <c r="A105" s="207">
        <f>I1</f>
        <v>939.39538300803542</v>
      </c>
      <c r="B105" s="208">
        <f>I2</f>
        <v>746.33304452582729</v>
      </c>
    </row>
    <row r="106" spans="1:17" x14ac:dyDescent="0.2">
      <c r="A106" s="209"/>
      <c r="B106" s="210"/>
      <c r="C106" s="194"/>
      <c r="D106" s="194"/>
      <c r="E106" s="194"/>
      <c r="F106" s="194"/>
      <c r="G106" s="194"/>
      <c r="H106" s="194"/>
      <c r="I106" s="194"/>
    </row>
    <row r="107" spans="1:17" x14ac:dyDescent="0.2">
      <c r="A107" s="182"/>
      <c r="C107" s="194"/>
      <c r="D107" s="194"/>
      <c r="E107" s="194"/>
      <c r="F107" s="194"/>
      <c r="G107" s="194"/>
      <c r="H107" s="194"/>
      <c r="I107" s="194"/>
    </row>
    <row r="108" spans="1:17" x14ac:dyDescent="0.2">
      <c r="A108" s="182"/>
      <c r="B108">
        <v>1</v>
      </c>
      <c r="C108" s="182">
        <v>2</v>
      </c>
      <c r="D108">
        <v>3</v>
      </c>
      <c r="E108" s="182">
        <v>4</v>
      </c>
      <c r="F108">
        <v>5</v>
      </c>
      <c r="G108" s="182">
        <v>6</v>
      </c>
      <c r="H108">
        <v>7</v>
      </c>
      <c r="I108" s="182">
        <v>8</v>
      </c>
      <c r="J108">
        <v>9</v>
      </c>
      <c r="K108" s="182">
        <v>10</v>
      </c>
      <c r="L108">
        <v>11</v>
      </c>
      <c r="M108" s="182">
        <v>12</v>
      </c>
      <c r="N108">
        <v>13</v>
      </c>
      <c r="O108" s="182">
        <v>14</v>
      </c>
      <c r="P108" s="38">
        <v>15</v>
      </c>
    </row>
    <row r="109" spans="1:17" x14ac:dyDescent="0.2">
      <c r="A109" s="182"/>
      <c r="B109" s="195"/>
    </row>
    <row r="111" spans="1:17" x14ac:dyDescent="0.2">
      <c r="A111" s="20" t="s">
        <v>561</v>
      </c>
      <c r="B111" s="10">
        <v>206189</v>
      </c>
      <c r="C111" s="20"/>
      <c r="D111" s="20"/>
      <c r="E111" s="20"/>
    </row>
    <row r="112" spans="1:17" x14ac:dyDescent="0.2">
      <c r="A112" s="20" t="s">
        <v>564</v>
      </c>
      <c r="B112" s="10" t="s">
        <v>565</v>
      </c>
      <c r="C112" s="20"/>
      <c r="D112" s="20"/>
      <c r="E112" s="20"/>
    </row>
    <row r="113" spans="1:5" x14ac:dyDescent="0.2">
      <c r="A113" s="20" t="s">
        <v>36</v>
      </c>
      <c r="B113" s="10">
        <v>1014</v>
      </c>
      <c r="C113" s="20"/>
      <c r="D113" s="20"/>
      <c r="E113" s="20"/>
    </row>
    <row r="114" spans="1:5" x14ac:dyDescent="0.2">
      <c r="A114" s="20" t="s">
        <v>566</v>
      </c>
      <c r="B114" s="10" t="s">
        <v>568</v>
      </c>
      <c r="C114" s="20"/>
      <c r="D114" s="20"/>
      <c r="E114" s="20"/>
    </row>
    <row r="115" spans="1:5" x14ac:dyDescent="0.2">
      <c r="A115" s="20" t="s">
        <v>575</v>
      </c>
      <c r="B115" s="10" t="s">
        <v>576</v>
      </c>
      <c r="C115" s="20"/>
      <c r="D115" s="20"/>
      <c r="E115" s="20"/>
    </row>
    <row r="116" spans="1:5" x14ac:dyDescent="0.2">
      <c r="A116" s="20" t="s">
        <v>577</v>
      </c>
      <c r="B116" s="10">
        <v>206124</v>
      </c>
      <c r="C116" s="20"/>
      <c r="D116" s="20"/>
      <c r="E116" s="20"/>
    </row>
    <row r="117" spans="1:5" x14ac:dyDescent="0.2">
      <c r="A117" s="20" t="s">
        <v>580</v>
      </c>
      <c r="B117" s="10" t="s">
        <v>582</v>
      </c>
      <c r="C117" s="20"/>
      <c r="D117" s="20"/>
      <c r="E117" s="20"/>
    </row>
    <row r="118" spans="1:5" x14ac:dyDescent="0.2">
      <c r="A118" s="20" t="s">
        <v>583</v>
      </c>
      <c r="B118" s="10">
        <v>206126</v>
      </c>
      <c r="C118" s="20"/>
      <c r="D118" s="20"/>
      <c r="E118" s="20"/>
    </row>
    <row r="119" spans="1:5" x14ac:dyDescent="0.2">
      <c r="A119" s="20" t="s">
        <v>585</v>
      </c>
      <c r="B119" s="10">
        <v>206111</v>
      </c>
      <c r="C119" s="20"/>
      <c r="D119" s="20"/>
      <c r="E119" s="20"/>
    </row>
    <row r="120" spans="1:5" x14ac:dyDescent="0.2">
      <c r="A120" s="20" t="s">
        <v>587</v>
      </c>
      <c r="B120" s="10">
        <v>206091</v>
      </c>
      <c r="C120" s="20"/>
      <c r="D120" s="20"/>
      <c r="E120" s="20"/>
    </row>
    <row r="121" spans="1:5" x14ac:dyDescent="0.2">
      <c r="A121" s="20" t="s">
        <v>37</v>
      </c>
      <c r="B121" s="10">
        <v>1017</v>
      </c>
      <c r="C121" s="20"/>
      <c r="D121" s="20"/>
      <c r="E121" s="20"/>
    </row>
    <row r="122" spans="1:5" x14ac:dyDescent="0.2">
      <c r="A122" s="20" t="s">
        <v>38</v>
      </c>
      <c r="B122" s="10">
        <v>1006</v>
      </c>
      <c r="C122" s="20"/>
      <c r="D122" s="20"/>
      <c r="E122" s="20"/>
    </row>
    <row r="123" spans="1:5" x14ac:dyDescent="0.2">
      <c r="A123" s="20" t="s">
        <v>589</v>
      </c>
      <c r="B123" s="10" t="s">
        <v>590</v>
      </c>
      <c r="C123" s="20"/>
      <c r="D123" s="20"/>
      <c r="E123" s="20"/>
    </row>
    <row r="124" spans="1:5" x14ac:dyDescent="0.2">
      <c r="A124" s="20" t="s">
        <v>591</v>
      </c>
      <c r="B124" s="10">
        <v>206128</v>
      </c>
      <c r="C124" s="20"/>
      <c r="D124" s="20"/>
      <c r="E124" s="20"/>
    </row>
    <row r="125" spans="1:5" x14ac:dyDescent="0.2">
      <c r="A125" s="20" t="s">
        <v>908</v>
      </c>
      <c r="B125" s="10" t="s">
        <v>617</v>
      </c>
      <c r="C125" s="20"/>
      <c r="D125" s="20"/>
      <c r="E125" s="20"/>
    </row>
    <row r="126" spans="1:5" x14ac:dyDescent="0.2">
      <c r="A126" s="20" t="s">
        <v>898</v>
      </c>
      <c r="B126" s="10">
        <v>205921</v>
      </c>
      <c r="C126" s="20"/>
      <c r="D126" s="20"/>
      <c r="E126" s="20"/>
    </row>
    <row r="127" spans="1:5" x14ac:dyDescent="0.2">
      <c r="A127" s="20" t="s">
        <v>897</v>
      </c>
      <c r="B127" s="10">
        <v>205999</v>
      </c>
      <c r="C127" s="20"/>
      <c r="D127" s="20"/>
      <c r="E127" s="20"/>
    </row>
    <row r="128" spans="1:5" x14ac:dyDescent="0.2">
      <c r="A128" s="20" t="s">
        <v>896</v>
      </c>
      <c r="B128" s="10" t="s">
        <v>598</v>
      </c>
      <c r="C128" s="20"/>
      <c r="D128" s="20"/>
      <c r="E128" s="20"/>
    </row>
    <row r="129" spans="1:5" x14ac:dyDescent="0.2">
      <c r="A129" s="20" t="s">
        <v>899</v>
      </c>
      <c r="B129" s="10">
        <v>205922</v>
      </c>
      <c r="C129" s="20"/>
      <c r="D129" s="20"/>
      <c r="E129" s="20"/>
    </row>
    <row r="130" spans="1:5" x14ac:dyDescent="0.2">
      <c r="A130" s="20" t="s">
        <v>900</v>
      </c>
      <c r="B130" s="10" t="s">
        <v>603</v>
      </c>
      <c r="C130" s="20"/>
      <c r="D130" s="20"/>
      <c r="E130" s="20"/>
    </row>
    <row r="131" spans="1:5" x14ac:dyDescent="0.2">
      <c r="A131" s="20" t="s">
        <v>901</v>
      </c>
      <c r="B131" s="10">
        <v>205849</v>
      </c>
      <c r="C131" s="20"/>
      <c r="D131" s="20"/>
      <c r="E131" s="20"/>
    </row>
    <row r="132" spans="1:5" x14ac:dyDescent="0.2">
      <c r="A132" s="20" t="s">
        <v>902</v>
      </c>
      <c r="B132" s="10" t="s">
        <v>606</v>
      </c>
      <c r="C132" s="20"/>
      <c r="D132" s="20"/>
      <c r="E132" s="20"/>
    </row>
    <row r="133" spans="1:5" x14ac:dyDescent="0.2">
      <c r="A133" s="20" t="s">
        <v>903</v>
      </c>
      <c r="B133" s="10">
        <v>2</v>
      </c>
      <c r="C133" s="20"/>
      <c r="D133" s="20"/>
      <c r="E133" s="20"/>
    </row>
    <row r="134" spans="1:5" x14ac:dyDescent="0.2">
      <c r="A134" s="20" t="s">
        <v>904</v>
      </c>
      <c r="B134" s="10">
        <v>205956</v>
      </c>
      <c r="C134" s="20"/>
      <c r="D134" s="20"/>
      <c r="E134" s="20"/>
    </row>
    <row r="135" spans="1:5" x14ac:dyDescent="0.2">
      <c r="A135" s="20" t="s">
        <v>907</v>
      </c>
      <c r="B135" s="10" t="s">
        <v>613</v>
      </c>
      <c r="C135" s="20"/>
      <c r="D135" s="20"/>
      <c r="E135" s="20"/>
    </row>
    <row r="136" spans="1:5" x14ac:dyDescent="0.2">
      <c r="A136" s="20" t="s">
        <v>906</v>
      </c>
      <c r="B136" s="10" t="s">
        <v>615</v>
      </c>
      <c r="C136" s="20"/>
      <c r="D136" s="20"/>
      <c r="E136" s="20"/>
    </row>
    <row r="137" spans="1:5" x14ac:dyDescent="0.2">
      <c r="A137" s="20" t="s">
        <v>905</v>
      </c>
      <c r="B137" s="10" t="s">
        <v>612</v>
      </c>
      <c r="C137" s="20"/>
      <c r="D137" s="20"/>
      <c r="E137" s="20"/>
    </row>
    <row r="138" spans="1:5" x14ac:dyDescent="0.2">
      <c r="A138" s="20" t="s">
        <v>909</v>
      </c>
      <c r="B138" s="10" t="s">
        <v>618</v>
      </c>
      <c r="C138" s="20"/>
      <c r="D138" s="20"/>
      <c r="E138" s="20"/>
    </row>
    <row r="139" spans="1:5" x14ac:dyDescent="0.2">
      <c r="A139" s="20" t="s">
        <v>910</v>
      </c>
      <c r="B139" s="10" t="s">
        <v>619</v>
      </c>
      <c r="C139" s="20"/>
      <c r="D139" s="20"/>
      <c r="E139" s="20"/>
    </row>
    <row r="140" spans="1:5" x14ac:dyDescent="0.2">
      <c r="A140" s="20" t="s">
        <v>911</v>
      </c>
      <c r="B140" s="10" t="s">
        <v>620</v>
      </c>
      <c r="C140" s="20"/>
      <c r="D140" s="20"/>
      <c r="E140" s="20"/>
    </row>
    <row r="141" spans="1:5" x14ac:dyDescent="0.2">
      <c r="A141" s="20" t="s">
        <v>621</v>
      </c>
      <c r="B141" s="10" t="s">
        <v>622</v>
      </c>
      <c r="C141" s="20"/>
      <c r="D141" s="20"/>
      <c r="E141" s="20"/>
    </row>
    <row r="142" spans="1:5" x14ac:dyDescent="0.2">
      <c r="A142" s="20" t="s">
        <v>623</v>
      </c>
      <c r="B142" s="10" t="s">
        <v>625</v>
      </c>
      <c r="C142" s="20"/>
      <c r="D142" s="20"/>
      <c r="E142" s="20"/>
    </row>
    <row r="143" spans="1:5" x14ac:dyDescent="0.2">
      <c r="A143" s="20" t="s">
        <v>628</v>
      </c>
      <c r="B143" s="10" t="s">
        <v>629</v>
      </c>
      <c r="C143" s="20"/>
      <c r="D143" s="20"/>
      <c r="E143" s="20"/>
    </row>
    <row r="144" spans="1:5" x14ac:dyDescent="0.2">
      <c r="A144" s="20" t="s">
        <v>630</v>
      </c>
      <c r="B144" s="10">
        <v>258417</v>
      </c>
      <c r="C144" s="20"/>
      <c r="D144" s="20"/>
      <c r="E144" s="20"/>
    </row>
    <row r="145" spans="1:5" x14ac:dyDescent="0.2">
      <c r="A145" s="20" t="s">
        <v>632</v>
      </c>
      <c r="B145" s="10" t="s">
        <v>634</v>
      </c>
      <c r="C145" s="20"/>
      <c r="D145" s="20"/>
      <c r="E145" s="20"/>
    </row>
    <row r="146" spans="1:5" x14ac:dyDescent="0.2">
      <c r="A146" s="20" t="s">
        <v>635</v>
      </c>
      <c r="B146" s="10" t="s">
        <v>637</v>
      </c>
      <c r="C146" s="20"/>
      <c r="D146" s="20"/>
      <c r="E146" s="20"/>
    </row>
    <row r="147" spans="1:5" x14ac:dyDescent="0.2">
      <c r="A147" s="20" t="s">
        <v>638</v>
      </c>
      <c r="B147" s="10">
        <v>206106</v>
      </c>
      <c r="C147" s="20"/>
      <c r="D147" s="20"/>
      <c r="E147" s="20"/>
    </row>
    <row r="148" spans="1:5" x14ac:dyDescent="0.2">
      <c r="A148" s="20" t="s">
        <v>640</v>
      </c>
      <c r="B148" s="10" t="s">
        <v>641</v>
      </c>
      <c r="C148" s="20"/>
      <c r="D148" s="20"/>
      <c r="E148" s="20"/>
    </row>
    <row r="149" spans="1:5" x14ac:dyDescent="0.2">
      <c r="A149" s="20" t="s">
        <v>39</v>
      </c>
      <c r="B149" s="10">
        <v>1008</v>
      </c>
      <c r="C149" s="20"/>
      <c r="D149" s="20"/>
      <c r="E149" s="20"/>
    </row>
    <row r="150" spans="1:5" x14ac:dyDescent="0.2">
      <c r="A150" s="20" t="s">
        <v>642</v>
      </c>
      <c r="B150" s="10" t="s">
        <v>643</v>
      </c>
      <c r="C150" s="20"/>
      <c r="D150" s="20"/>
      <c r="E150" s="20"/>
    </row>
    <row r="151" spans="1:5" x14ac:dyDescent="0.2">
      <c r="A151" s="20" t="s">
        <v>644</v>
      </c>
      <c r="B151" s="10" t="s">
        <v>645</v>
      </c>
      <c r="C151" s="20"/>
      <c r="D151" s="20"/>
      <c r="E151" s="20"/>
    </row>
    <row r="152" spans="1:5" x14ac:dyDescent="0.2">
      <c r="A152" s="20" t="s">
        <v>646</v>
      </c>
      <c r="B152" s="10">
        <v>206133</v>
      </c>
      <c r="C152" s="20"/>
      <c r="D152" s="20"/>
      <c r="E152" s="20"/>
    </row>
    <row r="153" spans="1:5" x14ac:dyDescent="0.2">
      <c r="A153" s="20" t="s">
        <v>648</v>
      </c>
      <c r="B153" s="10" t="s">
        <v>650</v>
      </c>
      <c r="C153" s="20"/>
      <c r="D153" s="20"/>
      <c r="E153" s="20"/>
    </row>
    <row r="154" spans="1:5" x14ac:dyDescent="0.2">
      <c r="A154" s="20" t="s">
        <v>651</v>
      </c>
      <c r="B154" s="10">
        <v>206134</v>
      </c>
      <c r="C154" s="20"/>
      <c r="D154" s="20"/>
      <c r="E154" s="20"/>
    </row>
    <row r="155" spans="1:5" x14ac:dyDescent="0.2">
      <c r="A155" s="20" t="s">
        <v>655</v>
      </c>
      <c r="B155" s="10" t="s">
        <v>656</v>
      </c>
      <c r="C155" s="20"/>
      <c r="D155" s="20"/>
      <c r="E155" s="20"/>
    </row>
    <row r="156" spans="1:5" x14ac:dyDescent="0.2">
      <c r="A156" s="20" t="s">
        <v>657</v>
      </c>
      <c r="B156" s="10" t="s">
        <v>658</v>
      </c>
      <c r="C156" s="20"/>
      <c r="D156" s="20"/>
      <c r="E156" s="20"/>
    </row>
    <row r="157" spans="1:5" x14ac:dyDescent="0.2">
      <c r="A157" s="20" t="s">
        <v>659</v>
      </c>
      <c r="B157" s="10">
        <v>206109</v>
      </c>
      <c r="C157" s="20"/>
      <c r="D157" s="20"/>
      <c r="E157" s="20"/>
    </row>
    <row r="158" spans="1:5" x14ac:dyDescent="0.2">
      <c r="A158" s="20" t="s">
        <v>661</v>
      </c>
      <c r="B158" s="10">
        <v>206110</v>
      </c>
      <c r="C158" s="20"/>
      <c r="D158" s="20"/>
      <c r="E158" s="20"/>
    </row>
    <row r="159" spans="1:5" x14ac:dyDescent="0.2">
      <c r="A159" s="20" t="s">
        <v>663</v>
      </c>
      <c r="B159" s="10">
        <v>206135</v>
      </c>
      <c r="C159" s="20"/>
      <c r="D159" s="20"/>
      <c r="E159" s="20"/>
    </row>
    <row r="160" spans="1:5" x14ac:dyDescent="0.2">
      <c r="A160" s="20" t="s">
        <v>665</v>
      </c>
      <c r="B160" s="10">
        <v>509195</v>
      </c>
      <c r="C160" s="20"/>
      <c r="D160" s="20"/>
      <c r="E160" s="20"/>
    </row>
    <row r="161" spans="1:5" x14ac:dyDescent="0.2">
      <c r="A161" s="20" t="s">
        <v>667</v>
      </c>
      <c r="B161" s="10" t="s">
        <v>668</v>
      </c>
      <c r="C161" s="20"/>
      <c r="D161" s="20"/>
      <c r="E161" s="20"/>
    </row>
    <row r="162" spans="1:5" x14ac:dyDescent="0.2">
      <c r="A162" s="20" t="s">
        <v>671</v>
      </c>
      <c r="B162" s="10" t="s">
        <v>673</v>
      </c>
      <c r="C162" s="20"/>
      <c r="D162" s="20"/>
      <c r="E162" s="20"/>
    </row>
    <row r="163" spans="1:5" x14ac:dyDescent="0.2">
      <c r="A163" s="20" t="s">
        <v>674</v>
      </c>
      <c r="B163" s="10">
        <v>509199</v>
      </c>
      <c r="C163" s="20"/>
      <c r="D163" s="20"/>
      <c r="E163" s="20"/>
    </row>
    <row r="164" spans="1:5" x14ac:dyDescent="0.2">
      <c r="A164" s="20" t="s">
        <v>676</v>
      </c>
      <c r="B164" s="10">
        <v>509197</v>
      </c>
      <c r="C164" s="20"/>
      <c r="D164" s="20"/>
      <c r="E164" s="20"/>
    </row>
    <row r="165" spans="1:5" x14ac:dyDescent="0.2">
      <c r="A165" s="20" t="s">
        <v>678</v>
      </c>
      <c r="B165" s="10" t="s">
        <v>680</v>
      </c>
      <c r="C165" s="20"/>
      <c r="D165" s="20"/>
      <c r="E165" s="20"/>
    </row>
    <row r="166" spans="1:5" x14ac:dyDescent="0.2">
      <c r="A166" s="20" t="s">
        <v>40</v>
      </c>
      <c r="B166" s="10">
        <v>1005</v>
      </c>
      <c r="C166" s="20"/>
      <c r="D166" s="20"/>
      <c r="E166" s="20"/>
    </row>
    <row r="167" spans="1:5" x14ac:dyDescent="0.2">
      <c r="A167" s="20" t="s">
        <v>683</v>
      </c>
      <c r="B167" s="10">
        <v>206117</v>
      </c>
      <c r="C167" s="20"/>
      <c r="D167" s="20"/>
      <c r="E167" s="20"/>
    </row>
    <row r="168" spans="1:5" x14ac:dyDescent="0.2">
      <c r="A168" s="20" t="s">
        <v>685</v>
      </c>
      <c r="B168" s="10">
        <v>206141</v>
      </c>
      <c r="C168" s="20"/>
      <c r="D168" s="20"/>
      <c r="E168" s="20"/>
    </row>
    <row r="169" spans="1:5" x14ac:dyDescent="0.2">
      <c r="A169" s="20" t="s">
        <v>687</v>
      </c>
      <c r="B169" s="10" t="s">
        <v>689</v>
      </c>
      <c r="C169" s="20"/>
      <c r="D169" s="20"/>
      <c r="E169" s="20"/>
    </row>
    <row r="170" spans="1:5" x14ac:dyDescent="0.2">
      <c r="A170" s="20" t="s">
        <v>690</v>
      </c>
      <c r="B170" s="10">
        <v>258404</v>
      </c>
      <c r="C170" s="20"/>
      <c r="D170" s="20"/>
      <c r="E170" s="20"/>
    </row>
    <row r="171" spans="1:5" x14ac:dyDescent="0.2">
      <c r="A171" s="20" t="s">
        <v>692</v>
      </c>
      <c r="B171" s="10">
        <v>258405</v>
      </c>
      <c r="C171" s="20"/>
      <c r="D171" s="20"/>
      <c r="E171" s="20"/>
    </row>
    <row r="172" spans="1:5" x14ac:dyDescent="0.2">
      <c r="A172" s="20" t="s">
        <v>694</v>
      </c>
      <c r="B172" s="10">
        <v>258406</v>
      </c>
      <c r="C172" s="20"/>
      <c r="D172" s="20"/>
      <c r="E172" s="20"/>
    </row>
    <row r="173" spans="1:5" x14ac:dyDescent="0.2">
      <c r="A173" s="20" t="s">
        <v>696</v>
      </c>
      <c r="B173" s="10">
        <v>206160</v>
      </c>
      <c r="C173" s="20"/>
      <c r="D173" s="20"/>
      <c r="E173" s="20"/>
    </row>
    <row r="174" spans="1:5" x14ac:dyDescent="0.2">
      <c r="A174" s="20" t="s">
        <v>698</v>
      </c>
      <c r="B174" s="10" t="s">
        <v>700</v>
      </c>
      <c r="C174" s="20"/>
      <c r="D174" s="20"/>
      <c r="E174" s="20"/>
    </row>
    <row r="175" spans="1:5" x14ac:dyDescent="0.2">
      <c r="A175" s="20" t="s">
        <v>701</v>
      </c>
      <c r="B175" s="10" t="s">
        <v>702</v>
      </c>
      <c r="C175" s="20"/>
      <c r="D175" s="20"/>
      <c r="E175" s="20"/>
    </row>
    <row r="176" spans="1:5" x14ac:dyDescent="0.2">
      <c r="A176" s="20" t="s">
        <v>703</v>
      </c>
      <c r="B176" s="10" t="s">
        <v>705</v>
      </c>
      <c r="C176" s="20"/>
      <c r="D176" s="20"/>
      <c r="E176" s="20"/>
    </row>
    <row r="177" spans="1:5" x14ac:dyDescent="0.2">
      <c r="A177" s="20" t="s">
        <v>706</v>
      </c>
      <c r="B177" s="10">
        <v>206146</v>
      </c>
      <c r="C177" s="20"/>
      <c r="D177" s="20"/>
      <c r="E177" s="20"/>
    </row>
    <row r="178" spans="1:5" x14ac:dyDescent="0.2">
      <c r="A178" s="20" t="s">
        <v>708</v>
      </c>
      <c r="B178" s="10" t="s">
        <v>709</v>
      </c>
      <c r="C178" s="20"/>
      <c r="D178" s="20"/>
      <c r="E178" s="20"/>
    </row>
    <row r="179" spans="1:5" x14ac:dyDescent="0.2">
      <c r="A179" s="20" t="s">
        <v>715</v>
      </c>
      <c r="B179" s="10" t="s">
        <v>716</v>
      </c>
      <c r="C179" s="20"/>
      <c r="D179" s="20"/>
      <c r="E179" s="20"/>
    </row>
    <row r="180" spans="1:5" x14ac:dyDescent="0.2">
      <c r="A180" s="20" t="s">
        <v>717</v>
      </c>
      <c r="B180" s="10" t="s">
        <v>719</v>
      </c>
      <c r="C180" s="20"/>
      <c r="D180" s="20"/>
      <c r="E180" s="20"/>
    </row>
    <row r="181" spans="1:5" x14ac:dyDescent="0.2">
      <c r="A181" s="20" t="s">
        <v>720</v>
      </c>
      <c r="B181" s="10" t="s">
        <v>721</v>
      </c>
      <c r="C181" s="20"/>
      <c r="D181" s="20"/>
      <c r="E181" s="20"/>
    </row>
    <row r="182" spans="1:5" x14ac:dyDescent="0.2">
      <c r="A182" s="20" t="s">
        <v>722</v>
      </c>
      <c r="B182" s="10">
        <v>113044</v>
      </c>
      <c r="C182" s="20"/>
      <c r="D182" s="20"/>
      <c r="E182" s="20"/>
    </row>
    <row r="183" spans="1:5" x14ac:dyDescent="0.2">
      <c r="A183" s="20" t="s">
        <v>724</v>
      </c>
      <c r="B183" s="10" t="s">
        <v>726</v>
      </c>
      <c r="C183" s="20"/>
      <c r="D183" s="20"/>
      <c r="E183" s="20"/>
    </row>
    <row r="184" spans="1:5" x14ac:dyDescent="0.2">
      <c r="A184" s="20" t="s">
        <v>727</v>
      </c>
      <c r="B184" s="10" t="s">
        <v>729</v>
      </c>
      <c r="C184" s="20"/>
      <c r="D184" s="20"/>
      <c r="E184" s="20"/>
    </row>
    <row r="185" spans="1:5" x14ac:dyDescent="0.2">
      <c r="A185" s="20" t="s">
        <v>730</v>
      </c>
      <c r="B185" s="10" t="s">
        <v>732</v>
      </c>
      <c r="C185" s="20"/>
      <c r="D185" s="20"/>
      <c r="E185" s="20"/>
    </row>
    <row r="186" spans="1:5" x14ac:dyDescent="0.2">
      <c r="A186" s="20" t="s">
        <v>733</v>
      </c>
      <c r="B186" s="10" t="s">
        <v>735</v>
      </c>
      <c r="C186" s="20"/>
      <c r="D186" s="20"/>
      <c r="E186" s="20"/>
    </row>
    <row r="187" spans="1:5" x14ac:dyDescent="0.2">
      <c r="A187" s="20" t="s">
        <v>736</v>
      </c>
      <c r="B187" s="10" t="s">
        <v>737</v>
      </c>
      <c r="C187" s="20"/>
      <c r="D187" s="20"/>
      <c r="E187" s="20"/>
    </row>
    <row r="188" spans="1:5" x14ac:dyDescent="0.2">
      <c r="A188" s="20" t="s">
        <v>738</v>
      </c>
      <c r="B188" s="10">
        <v>206152</v>
      </c>
      <c r="C188" s="20"/>
      <c r="D188" s="20"/>
      <c r="E188" s="20"/>
    </row>
    <row r="189" spans="1:5" x14ac:dyDescent="0.2">
      <c r="A189" s="20" t="s">
        <v>103</v>
      </c>
      <c r="B189" s="10">
        <v>3158</v>
      </c>
      <c r="C189" s="20"/>
      <c r="D189" s="20"/>
      <c r="E189" s="20"/>
    </row>
    <row r="190" spans="1:5" x14ac:dyDescent="0.2">
      <c r="A190" s="20" t="s">
        <v>740</v>
      </c>
      <c r="B190" s="10">
        <v>206153</v>
      </c>
      <c r="C190" s="20"/>
      <c r="D190" s="20"/>
      <c r="E190" s="20"/>
    </row>
    <row r="191" spans="1:5" x14ac:dyDescent="0.2">
      <c r="A191" s="20" t="s">
        <v>742</v>
      </c>
      <c r="B191" s="10">
        <v>206154</v>
      </c>
      <c r="C191" s="20"/>
      <c r="D191" s="20"/>
      <c r="E191" s="20"/>
    </row>
    <row r="192" spans="1:5" x14ac:dyDescent="0.2">
      <c r="A192" s="20" t="s">
        <v>744</v>
      </c>
      <c r="B192" s="10" t="s">
        <v>745</v>
      </c>
      <c r="C192" s="20"/>
      <c r="D192" s="20"/>
      <c r="E192" s="20"/>
    </row>
    <row r="193" spans="1:5" x14ac:dyDescent="0.2">
      <c r="A193" s="20" t="s">
        <v>41</v>
      </c>
      <c r="B193" s="10">
        <v>1010</v>
      </c>
      <c r="C193" s="20"/>
      <c r="D193" s="20"/>
      <c r="E193" s="20"/>
    </row>
    <row r="194" spans="1:5" x14ac:dyDescent="0.2">
      <c r="A194" s="20" t="s">
        <v>746</v>
      </c>
      <c r="B194" s="10" t="s">
        <v>748</v>
      </c>
      <c r="C194" s="20"/>
      <c r="D194" s="20"/>
      <c r="E194" s="20"/>
    </row>
    <row r="195" spans="1:5" x14ac:dyDescent="0.2">
      <c r="A195" s="20" t="s">
        <v>749</v>
      </c>
      <c r="B195" s="10" t="s">
        <v>751</v>
      </c>
      <c r="C195" s="20"/>
      <c r="D195" s="20"/>
      <c r="E195" s="20"/>
    </row>
    <row r="196" spans="1:5" x14ac:dyDescent="0.2">
      <c r="A196" s="20" t="s">
        <v>752</v>
      </c>
      <c r="B196" s="10">
        <v>206103</v>
      </c>
      <c r="C196" s="20"/>
      <c r="D196" s="20"/>
      <c r="E196" s="20"/>
    </row>
    <row r="197" spans="1:5" x14ac:dyDescent="0.2">
      <c r="A197" s="20" t="s">
        <v>753</v>
      </c>
      <c r="B197" s="10" t="s">
        <v>755</v>
      </c>
      <c r="C197" s="20"/>
      <c r="D197" s="20"/>
      <c r="E197" s="20"/>
    </row>
    <row r="198" spans="1:5" x14ac:dyDescent="0.2">
      <c r="A198" s="20" t="s">
        <v>756</v>
      </c>
      <c r="B198" s="10" t="s">
        <v>758</v>
      </c>
      <c r="C198" s="20"/>
      <c r="D198" s="20"/>
      <c r="E198" s="20"/>
    </row>
    <row r="199" spans="1:5" x14ac:dyDescent="0.2">
      <c r="A199" s="20" t="s">
        <v>759</v>
      </c>
      <c r="B199" s="10">
        <v>258420</v>
      </c>
      <c r="C199" s="20"/>
      <c r="D199" s="20"/>
      <c r="E199" s="20"/>
    </row>
    <row r="200" spans="1:5" x14ac:dyDescent="0.2">
      <c r="A200" s="20" t="s">
        <v>761</v>
      </c>
      <c r="B200" s="10">
        <v>258424</v>
      </c>
      <c r="C200" s="20"/>
      <c r="D200" s="20"/>
      <c r="E200" s="20"/>
    </row>
    <row r="201" spans="1:5" x14ac:dyDescent="0.2">
      <c r="A201" s="20" t="s">
        <v>42</v>
      </c>
      <c r="B201" s="10">
        <v>1009</v>
      </c>
      <c r="C201" s="20"/>
      <c r="D201" s="20"/>
      <c r="E201" s="20"/>
    </row>
    <row r="202" spans="1:5" x14ac:dyDescent="0.2">
      <c r="A202" s="20" t="s">
        <v>770</v>
      </c>
      <c r="B202" s="10" t="s">
        <v>771</v>
      </c>
      <c r="C202" s="20"/>
      <c r="D202" s="20"/>
      <c r="E202" s="20"/>
    </row>
    <row r="203" spans="1:5" x14ac:dyDescent="0.2">
      <c r="A203" s="20" t="s">
        <v>765</v>
      </c>
      <c r="B203" s="10" t="s">
        <v>767</v>
      </c>
      <c r="C203" s="20"/>
      <c r="D203" s="20"/>
      <c r="E203" s="20"/>
    </row>
    <row r="204" spans="1:5" x14ac:dyDescent="0.2">
      <c r="A204" s="20" t="s">
        <v>43</v>
      </c>
      <c r="B204" s="10">
        <v>1015</v>
      </c>
      <c r="C204" s="20"/>
      <c r="D204" s="20"/>
      <c r="E204" s="20"/>
    </row>
    <row r="205" spans="1:5" x14ac:dyDescent="0.2">
      <c r="A205" s="20" t="s">
        <v>768</v>
      </c>
      <c r="B205" s="10" t="s">
        <v>769</v>
      </c>
      <c r="C205" s="20"/>
      <c r="D205" s="20"/>
      <c r="E205" s="20"/>
    </row>
    <row r="206" spans="1:5" x14ac:dyDescent="0.2">
      <c r="A206" s="20" t="s">
        <v>772</v>
      </c>
      <c r="B206" s="10">
        <v>509204</v>
      </c>
      <c r="C206" s="20"/>
      <c r="D206" s="20"/>
      <c r="E206" s="20"/>
    </row>
    <row r="207" spans="1:5" x14ac:dyDescent="0.2">
      <c r="A207" s="491" t="s">
        <v>569</v>
      </c>
      <c r="B207" s="492" t="s">
        <v>570</v>
      </c>
      <c r="C207" s="623"/>
      <c r="D207" s="603"/>
    </row>
    <row r="208" spans="1:5" x14ac:dyDescent="0.2">
      <c r="A208" s="493" t="s">
        <v>571</v>
      </c>
      <c r="B208" s="494" t="s">
        <v>572</v>
      </c>
      <c r="C208" s="623"/>
      <c r="D208" s="603"/>
    </row>
    <row r="209" spans="1:4" ht="15" x14ac:dyDescent="0.25">
      <c r="A209" s="493" t="s">
        <v>573</v>
      </c>
      <c r="B209" s="495" t="s">
        <v>574</v>
      </c>
      <c r="C209" s="623"/>
      <c r="D209" s="603"/>
    </row>
    <row r="210" spans="1:4" x14ac:dyDescent="0.2">
      <c r="A210" s="499" t="s">
        <v>593</v>
      </c>
      <c r="B210" s="500" t="s">
        <v>594</v>
      </c>
      <c r="C210" s="623"/>
      <c r="D210" s="586"/>
    </row>
    <row r="211" spans="1:4" x14ac:dyDescent="0.2">
      <c r="A211" s="499" t="s">
        <v>595</v>
      </c>
      <c r="B211" s="500" t="s">
        <v>596</v>
      </c>
      <c r="C211" s="623"/>
      <c r="D211" s="603"/>
    </row>
    <row r="212" spans="1:4" x14ac:dyDescent="0.2">
      <c r="A212" s="332" t="s">
        <v>1026</v>
      </c>
      <c r="B212" s="324" t="s">
        <v>599</v>
      </c>
      <c r="C212" s="623"/>
      <c r="D212" s="586"/>
    </row>
    <row r="213" spans="1:4" x14ac:dyDescent="0.2">
      <c r="A213" s="332" t="s">
        <v>1027</v>
      </c>
      <c r="B213" s="324" t="s">
        <v>600</v>
      </c>
      <c r="C213" s="623"/>
      <c r="D213" s="586"/>
    </row>
    <row r="214" spans="1:4" x14ac:dyDescent="0.2">
      <c r="A214" s="332" t="s">
        <v>1014</v>
      </c>
      <c r="B214" s="324" t="s">
        <v>601</v>
      </c>
      <c r="C214" s="623"/>
      <c r="D214" s="586"/>
    </row>
    <row r="215" spans="1:4" x14ac:dyDescent="0.2">
      <c r="A215" s="332" t="s">
        <v>1015</v>
      </c>
      <c r="B215" s="324" t="s">
        <v>602</v>
      </c>
      <c r="C215" s="623"/>
      <c r="D215" s="586"/>
    </row>
    <row r="216" spans="1:4" x14ac:dyDescent="0.2">
      <c r="A216" s="332" t="s">
        <v>1016</v>
      </c>
      <c r="B216" s="324" t="s">
        <v>604</v>
      </c>
      <c r="C216" s="623"/>
      <c r="D216" s="586"/>
    </row>
    <row r="217" spans="1:4" x14ac:dyDescent="0.2">
      <c r="A217" s="332" t="s">
        <v>1017</v>
      </c>
      <c r="B217" s="324" t="s">
        <v>605</v>
      </c>
      <c r="C217" s="623"/>
      <c r="D217" s="586"/>
    </row>
    <row r="218" spans="1:4" x14ac:dyDescent="0.2">
      <c r="A218" s="514" t="s">
        <v>1018</v>
      </c>
      <c r="B218" s="509" t="s">
        <v>607</v>
      </c>
      <c r="C218" s="623"/>
      <c r="D218" s="586"/>
    </row>
    <row r="219" spans="1:4" x14ac:dyDescent="0.2">
      <c r="A219" s="502" t="s">
        <v>1019</v>
      </c>
      <c r="B219" s="494" t="s">
        <v>608</v>
      </c>
      <c r="C219" s="623"/>
      <c r="D219" s="586"/>
    </row>
    <row r="220" spans="1:4" x14ac:dyDescent="0.2">
      <c r="A220" s="517" t="s">
        <v>1020</v>
      </c>
      <c r="B220" s="518" t="s">
        <v>609</v>
      </c>
      <c r="C220" s="623"/>
      <c r="D220" s="586"/>
    </row>
    <row r="221" spans="1:4" x14ac:dyDescent="0.2">
      <c r="A221" s="510" t="s">
        <v>1021</v>
      </c>
      <c r="B221" s="494" t="s">
        <v>610</v>
      </c>
      <c r="C221" s="623"/>
      <c r="D221" s="586"/>
    </row>
    <row r="222" spans="1:4" x14ac:dyDescent="0.2">
      <c r="A222" s="515" t="s">
        <v>1022</v>
      </c>
      <c r="B222" s="503" t="s">
        <v>611</v>
      </c>
      <c r="C222" s="623"/>
      <c r="D222" s="586"/>
    </row>
    <row r="223" spans="1:4" x14ac:dyDescent="0.2">
      <c r="A223" s="505" t="s">
        <v>905</v>
      </c>
      <c r="B223" s="503" t="s">
        <v>612</v>
      </c>
      <c r="C223" s="623"/>
      <c r="D223" s="586"/>
    </row>
    <row r="224" spans="1:4" x14ac:dyDescent="0.2">
      <c r="A224" s="510" t="s">
        <v>1023</v>
      </c>
      <c r="B224" s="516" t="s">
        <v>614</v>
      </c>
      <c r="C224" s="623"/>
      <c r="D224" s="586"/>
    </row>
    <row r="225" spans="1:4" x14ac:dyDescent="0.2">
      <c r="A225" s="515" t="s">
        <v>1024</v>
      </c>
      <c r="B225" s="503">
        <v>206043</v>
      </c>
      <c r="C225" s="623"/>
      <c r="D225" s="586"/>
    </row>
    <row r="226" spans="1:4" x14ac:dyDescent="0.2">
      <c r="A226" s="512" t="s">
        <v>1025</v>
      </c>
      <c r="B226" s="519" t="s">
        <v>616</v>
      </c>
      <c r="C226" s="623"/>
      <c r="D226" s="586"/>
    </row>
    <row r="227" spans="1:4" x14ac:dyDescent="0.2">
      <c r="A227" s="530" t="s">
        <v>669</v>
      </c>
      <c r="B227" s="531" t="s">
        <v>670</v>
      </c>
      <c r="C227" s="623"/>
      <c r="D227" s="603"/>
    </row>
    <row r="228" spans="1:4" x14ac:dyDescent="0.2">
      <c r="A228" s="499" t="s">
        <v>681</v>
      </c>
      <c r="B228" s="500" t="s">
        <v>682</v>
      </c>
      <c r="C228" s="623"/>
      <c r="D228" s="586"/>
    </row>
    <row r="229" spans="1:4" x14ac:dyDescent="0.2">
      <c r="A229" s="528" t="s">
        <v>653</v>
      </c>
      <c r="B229" s="529" t="s">
        <v>654</v>
      </c>
    </row>
    <row r="230" spans="1:4" x14ac:dyDescent="0.2">
      <c r="A230" s="18" t="s">
        <v>63</v>
      </c>
      <c r="B230" s="604">
        <v>2448</v>
      </c>
    </row>
    <row r="231" spans="1:4" x14ac:dyDescent="0.2">
      <c r="A231" s="583" t="s">
        <v>1033</v>
      </c>
      <c r="B231" s="837">
        <v>4000</v>
      </c>
    </row>
  </sheetData>
  <sheetProtection password="EF5C" sheet="1" objects="1" scenarios="1" selectLockedCells="1" selectUnlockedCells="1"/>
  <mergeCells count="8">
    <mergeCell ref="Z5:AA5"/>
    <mergeCell ref="AB5:AC5"/>
    <mergeCell ref="AD5:AE5"/>
    <mergeCell ref="B1:B2"/>
    <mergeCell ref="R5:S5"/>
    <mergeCell ref="T5:U5"/>
    <mergeCell ref="V5:W5"/>
    <mergeCell ref="X5:Y5"/>
  </mergeCells>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20"/>
  <sheetViews>
    <sheetView zoomScale="80" zoomScaleNormal="80" workbookViewId="0">
      <selection sqref="A1:XFD1048576"/>
    </sheetView>
  </sheetViews>
  <sheetFormatPr defaultRowHeight="12.75" x14ac:dyDescent="0.2"/>
  <cols>
    <col min="1" max="1" width="52.42578125" bestFit="1" customWidth="1"/>
    <col min="2" max="2" width="17.140625" bestFit="1" customWidth="1"/>
    <col min="3" max="3" width="12.7109375" style="182" customWidth="1"/>
    <col min="4" max="4" width="11" bestFit="1" customWidth="1"/>
    <col min="7" max="7" width="52.42578125" style="196" bestFit="1" customWidth="1"/>
    <col min="8" max="8" width="17.140625" style="198" bestFit="1" customWidth="1"/>
    <col min="9" max="9" width="12.7109375" style="183" customWidth="1"/>
    <col min="10" max="10" width="11" style="198" bestFit="1" customWidth="1"/>
    <col min="11" max="12" width="9.140625" style="198"/>
    <col min="13" max="13" width="52.42578125" style="198" bestFit="1" customWidth="1"/>
    <col min="14" max="14" width="17.140625" style="198" bestFit="1" customWidth="1"/>
    <col min="15" max="15" width="12.7109375" style="183" customWidth="1"/>
    <col min="16" max="16" width="11" style="198" bestFit="1" customWidth="1"/>
    <col min="17" max="18" width="9.140625" style="223"/>
    <col min="19" max="19" width="52.42578125" style="223" bestFit="1" customWidth="1"/>
    <col min="20" max="20" width="17.140625" style="223" bestFit="1" customWidth="1"/>
    <col min="21" max="21" width="12.7109375" style="190" customWidth="1"/>
    <col min="22" max="22" width="11" style="223" bestFit="1" customWidth="1"/>
    <col min="23" max="40" width="9.140625" style="223"/>
  </cols>
  <sheetData>
    <row r="1" spans="1:22" ht="12.75" customHeight="1" x14ac:dyDescent="0.2">
      <c r="A1" s="9" t="s">
        <v>137</v>
      </c>
      <c r="B1" s="1250" t="s">
        <v>261</v>
      </c>
      <c r="C1" s="183"/>
      <c r="D1" s="32"/>
      <c r="G1" s="212"/>
      <c r="H1" s="1249"/>
      <c r="J1" s="13"/>
      <c r="M1" s="212"/>
      <c r="N1" s="1249"/>
      <c r="P1" s="13"/>
      <c r="S1" s="9"/>
      <c r="T1" s="1245"/>
      <c r="U1" s="183"/>
      <c r="V1" s="13"/>
    </row>
    <row r="2" spans="1:22" x14ac:dyDescent="0.2">
      <c r="A2" s="9" t="s">
        <v>138</v>
      </c>
      <c r="B2" s="1250"/>
      <c r="C2" s="183"/>
      <c r="D2" s="32"/>
      <c r="G2" s="212"/>
      <c r="H2" s="1249"/>
      <c r="J2" s="13"/>
      <c r="M2" s="212"/>
      <c r="N2" s="1249"/>
      <c r="P2" s="13"/>
      <c r="S2" s="9"/>
      <c r="T2" s="1245"/>
      <c r="U2" s="183"/>
      <c r="V2" s="13"/>
    </row>
    <row r="3" spans="1:22" x14ac:dyDescent="0.2">
      <c r="A3" s="9" t="s">
        <v>139</v>
      </c>
      <c r="B3" s="1250"/>
      <c r="C3" s="183"/>
      <c r="D3" s="32"/>
      <c r="G3" s="212"/>
      <c r="H3" s="1249"/>
      <c r="J3" s="13"/>
      <c r="M3" s="212"/>
      <c r="N3" s="1249"/>
      <c r="P3" s="13"/>
      <c r="S3" s="9"/>
      <c r="T3" s="1245"/>
      <c r="U3" s="183"/>
      <c r="V3" s="13"/>
    </row>
    <row r="4" spans="1:22" x14ac:dyDescent="0.2">
      <c r="A4" s="9" t="s">
        <v>140</v>
      </c>
      <c r="B4" s="1250"/>
      <c r="C4" s="183"/>
      <c r="D4" s="32"/>
      <c r="G4" s="212"/>
      <c r="H4" s="1249"/>
      <c r="J4" s="13"/>
      <c r="M4" s="212"/>
      <c r="N4" s="1249"/>
      <c r="P4" s="13"/>
      <c r="S4" s="9"/>
      <c r="T4" s="1245"/>
      <c r="U4" s="183"/>
      <c r="V4" s="13"/>
    </row>
    <row r="5" spans="1:22" x14ac:dyDescent="0.2">
      <c r="A5" s="9" t="s">
        <v>141</v>
      </c>
      <c r="B5" s="1250"/>
      <c r="C5" s="183">
        <f>1657-303.7833</f>
        <v>1353.2166999999999</v>
      </c>
      <c r="D5" s="32"/>
      <c r="E5" s="1251">
        <f>C5</f>
        <v>1353.2166999999999</v>
      </c>
      <c r="F5" s="1251"/>
      <c r="G5"/>
      <c r="H5" s="1249"/>
      <c r="J5" s="13"/>
      <c r="M5" s="212"/>
      <c r="N5" s="1249"/>
      <c r="P5" s="13"/>
      <c r="S5" s="9"/>
      <c r="T5" s="1245"/>
      <c r="U5" s="183"/>
      <c r="V5" s="13"/>
    </row>
    <row r="6" spans="1:22" ht="51" x14ac:dyDescent="0.2">
      <c r="A6" s="25" t="s">
        <v>180</v>
      </c>
      <c r="B6" s="15" t="s">
        <v>142</v>
      </c>
      <c r="C6" s="184" t="s">
        <v>194</v>
      </c>
      <c r="D6" s="41" t="s">
        <v>195</v>
      </c>
      <c r="G6"/>
      <c r="H6" s="214"/>
      <c r="I6" s="184"/>
      <c r="J6" s="17"/>
      <c r="M6" s="213"/>
      <c r="N6" s="214"/>
      <c r="O6" s="184"/>
      <c r="P6" s="17"/>
      <c r="S6" s="25"/>
      <c r="T6" s="15"/>
      <c r="U6" s="184"/>
      <c r="V6" s="17"/>
    </row>
    <row r="7" spans="1:22" x14ac:dyDescent="0.2">
      <c r="A7" s="18" t="s">
        <v>44</v>
      </c>
      <c r="B7" s="19">
        <v>2400</v>
      </c>
      <c r="C7" s="199">
        <v>2.1042345276872965</v>
      </c>
      <c r="D7" s="42">
        <f>C$5*C7</f>
        <v>2847.485303583062</v>
      </c>
      <c r="G7" s="199"/>
      <c r="H7" s="216"/>
      <c r="I7" s="224"/>
      <c r="J7" s="218"/>
      <c r="M7" s="215"/>
      <c r="N7" s="216"/>
      <c r="O7" s="224"/>
      <c r="P7" s="218"/>
      <c r="S7" s="18"/>
      <c r="T7" s="19"/>
      <c r="U7" s="225"/>
      <c r="V7" s="218"/>
    </row>
    <row r="8" spans="1:22" x14ac:dyDescent="0.2">
      <c r="A8" s="18" t="s">
        <v>45</v>
      </c>
      <c r="B8" s="19">
        <v>2443</v>
      </c>
      <c r="C8" s="199">
        <v>0.95925925925925926</v>
      </c>
      <c r="D8" s="42">
        <f t="shared" ref="D8:D70" si="0">C$5*C8</f>
        <v>1298.0856492592593</v>
      </c>
      <c r="G8" s="199"/>
      <c r="H8" s="216"/>
      <c r="I8" s="224"/>
      <c r="J8" s="218"/>
      <c r="M8" s="215"/>
      <c r="N8" s="216"/>
      <c r="O8" s="224"/>
      <c r="P8" s="218"/>
      <c r="S8" s="18"/>
      <c r="T8" s="19"/>
      <c r="U8" s="225"/>
      <c r="V8" s="218"/>
    </row>
    <row r="9" spans="1:22" x14ac:dyDescent="0.2">
      <c r="A9" s="18" t="s">
        <v>155</v>
      </c>
      <c r="B9" s="19">
        <v>2442</v>
      </c>
      <c r="C9" s="199">
        <v>0</v>
      </c>
      <c r="D9" s="42">
        <f>C$5*C9</f>
        <v>0</v>
      </c>
      <c r="G9" s="199"/>
      <c r="H9" s="216"/>
      <c r="I9" s="224"/>
      <c r="J9" s="218"/>
      <c r="M9" s="215"/>
      <c r="N9" s="216"/>
      <c r="O9" s="224"/>
      <c r="P9" s="218"/>
      <c r="S9" s="18"/>
      <c r="T9" s="19"/>
      <c r="U9" s="225"/>
      <c r="V9" s="218"/>
    </row>
    <row r="10" spans="1:22" x14ac:dyDescent="0.2">
      <c r="A10" s="18" t="s">
        <v>47</v>
      </c>
      <c r="B10" s="19">
        <v>2629</v>
      </c>
      <c r="C10" s="199">
        <v>0</v>
      </c>
      <c r="D10" s="42">
        <f t="shared" si="0"/>
        <v>0</v>
      </c>
      <c r="G10" s="199"/>
      <c r="H10" s="216"/>
      <c r="I10" s="224"/>
      <c r="J10" s="218"/>
      <c r="M10" s="215"/>
      <c r="N10" s="216"/>
      <c r="O10" s="224"/>
      <c r="P10" s="218"/>
      <c r="S10" s="18"/>
      <c r="T10" s="19"/>
      <c r="U10" s="225"/>
      <c r="V10" s="218"/>
    </row>
    <row r="11" spans="1:22" x14ac:dyDescent="0.2">
      <c r="A11" s="18" t="s">
        <v>48</v>
      </c>
      <c r="B11" s="19">
        <v>2509</v>
      </c>
      <c r="C11" s="199">
        <v>2.9375</v>
      </c>
      <c r="D11" s="42">
        <f t="shared" si="0"/>
        <v>3975.07405625</v>
      </c>
      <c r="G11" s="199"/>
      <c r="H11" s="216"/>
      <c r="I11" s="224"/>
      <c r="J11" s="218"/>
      <c r="M11" s="215"/>
      <c r="N11" s="216"/>
      <c r="O11" s="224"/>
      <c r="P11" s="218"/>
      <c r="S11" s="18"/>
      <c r="T11" s="19"/>
      <c r="U11" s="225"/>
      <c r="V11" s="218"/>
    </row>
    <row r="12" spans="1:22" x14ac:dyDescent="0.2">
      <c r="A12" s="18" t="s">
        <v>49</v>
      </c>
      <c r="B12" s="19">
        <v>2005</v>
      </c>
      <c r="C12" s="199">
        <v>2</v>
      </c>
      <c r="D12" s="42">
        <f t="shared" si="0"/>
        <v>2706.4333999999999</v>
      </c>
      <c r="G12" s="199"/>
      <c r="H12" s="216"/>
      <c r="I12" s="224"/>
      <c r="J12" s="218"/>
      <c r="M12" s="215"/>
      <c r="N12" s="216"/>
      <c r="O12" s="224"/>
      <c r="P12" s="218"/>
      <c r="S12" s="18"/>
      <c r="T12" s="19"/>
      <c r="U12" s="225"/>
      <c r="V12" s="218"/>
    </row>
    <row r="13" spans="1:22" x14ac:dyDescent="0.2">
      <c r="A13" s="18" t="s">
        <v>50</v>
      </c>
      <c r="B13" s="19">
        <v>2464</v>
      </c>
      <c r="C13" s="199">
        <v>1.0877192982456139</v>
      </c>
      <c r="D13" s="42">
        <f t="shared" si="0"/>
        <v>1471.9199192982453</v>
      </c>
      <c r="G13" s="199"/>
      <c r="H13" s="216"/>
      <c r="I13" s="224"/>
      <c r="J13" s="218"/>
      <c r="M13" s="215"/>
      <c r="N13" s="216"/>
      <c r="O13" s="224"/>
      <c r="P13" s="218"/>
      <c r="S13" s="18"/>
      <c r="T13" s="19"/>
      <c r="U13" s="225"/>
      <c r="V13" s="218"/>
    </row>
    <row r="14" spans="1:22" x14ac:dyDescent="0.2">
      <c r="A14" s="18" t="s">
        <v>51</v>
      </c>
      <c r="B14" s="19">
        <v>2004</v>
      </c>
      <c r="C14" s="199">
        <v>2.1457489878542511</v>
      </c>
      <c r="D14" s="42">
        <f t="shared" si="0"/>
        <v>2903.6633643724695</v>
      </c>
      <c r="G14" s="199"/>
      <c r="H14" s="216"/>
      <c r="I14" s="224"/>
      <c r="J14" s="218"/>
      <c r="M14" s="215"/>
      <c r="N14" s="216"/>
      <c r="O14" s="224"/>
      <c r="P14" s="218"/>
      <c r="S14" s="18"/>
      <c r="T14" s="19"/>
      <c r="U14" s="225"/>
      <c r="V14" s="218"/>
    </row>
    <row r="15" spans="1:22" x14ac:dyDescent="0.2">
      <c r="A15" s="18" t="s">
        <v>52</v>
      </c>
      <c r="B15" s="19">
        <v>2405</v>
      </c>
      <c r="C15" s="199">
        <v>1.037037037037037</v>
      </c>
      <c r="D15" s="42">
        <f t="shared" si="0"/>
        <v>1403.335837037037</v>
      </c>
      <c r="G15" s="199"/>
      <c r="H15" s="216"/>
      <c r="I15" s="224"/>
      <c r="J15" s="218"/>
      <c r="M15" s="215"/>
      <c r="N15" s="216"/>
      <c r="O15" s="224"/>
      <c r="P15" s="218"/>
      <c r="S15" s="18"/>
      <c r="T15" s="19"/>
      <c r="U15" s="225"/>
      <c r="V15" s="218"/>
    </row>
    <row r="16" spans="1:22" x14ac:dyDescent="0.2">
      <c r="A16" s="18" t="s">
        <v>156</v>
      </c>
      <c r="B16" s="19">
        <v>3525</v>
      </c>
      <c r="C16" s="199">
        <v>0</v>
      </c>
      <c r="D16" s="42">
        <f t="shared" si="0"/>
        <v>0</v>
      </c>
      <c r="G16" s="199"/>
      <c r="H16" s="216"/>
      <c r="I16" s="224"/>
      <c r="J16" s="218"/>
      <c r="M16" s="215"/>
      <c r="N16" s="216"/>
      <c r="O16" s="224"/>
      <c r="P16" s="218"/>
      <c r="S16" s="18"/>
      <c r="T16" s="19"/>
      <c r="U16" s="225"/>
      <c r="V16" s="218"/>
    </row>
    <row r="17" spans="1:22" x14ac:dyDescent="0.2">
      <c r="A17" s="18" t="s">
        <v>54</v>
      </c>
      <c r="B17" s="19">
        <v>5201</v>
      </c>
      <c r="C17" s="199">
        <v>0</v>
      </c>
      <c r="D17" s="42">
        <f t="shared" si="0"/>
        <v>0</v>
      </c>
      <c r="G17" s="199"/>
      <c r="H17" s="216"/>
      <c r="I17" s="224"/>
      <c r="J17" s="218"/>
      <c r="M17" s="215"/>
      <c r="N17" s="216"/>
      <c r="O17" s="224"/>
      <c r="P17" s="218"/>
      <c r="S17" s="18"/>
      <c r="T17" s="19"/>
      <c r="U17" s="225"/>
      <c r="V17" s="218"/>
    </row>
    <row r="18" spans="1:22" x14ac:dyDescent="0.2">
      <c r="A18" s="18" t="s">
        <v>157</v>
      </c>
      <c r="B18" s="19">
        <v>2007</v>
      </c>
      <c r="C18" s="199">
        <v>2.088709677419355</v>
      </c>
      <c r="D18" s="42">
        <f t="shared" si="0"/>
        <v>2826.4768169354838</v>
      </c>
      <c r="G18" s="199"/>
      <c r="H18" s="216"/>
      <c r="I18" s="224"/>
      <c r="J18" s="218"/>
      <c r="M18" s="215"/>
      <c r="N18" s="216"/>
      <c r="O18" s="224"/>
      <c r="P18" s="218"/>
      <c r="S18" s="18"/>
      <c r="T18" s="19"/>
      <c r="U18" s="225"/>
      <c r="V18" s="218"/>
    </row>
    <row r="19" spans="1:22" x14ac:dyDescent="0.2">
      <c r="A19" s="18" t="s">
        <v>56</v>
      </c>
      <c r="B19" s="19">
        <v>2433</v>
      </c>
      <c r="C19" s="199">
        <v>0</v>
      </c>
      <c r="D19" s="42">
        <f t="shared" si="0"/>
        <v>0</v>
      </c>
      <c r="G19" s="199"/>
      <c r="H19" s="216"/>
      <c r="I19" s="224"/>
      <c r="J19" s="218"/>
      <c r="M19" s="215"/>
      <c r="N19" s="216"/>
      <c r="O19" s="224"/>
      <c r="P19" s="218"/>
      <c r="S19" s="18"/>
      <c r="T19" s="19"/>
      <c r="U19" s="225"/>
      <c r="V19" s="218"/>
    </row>
    <row r="20" spans="1:22" x14ac:dyDescent="0.2">
      <c r="A20" s="18" t="s">
        <v>57</v>
      </c>
      <c r="B20" s="19">
        <v>2432</v>
      </c>
      <c r="C20" s="199">
        <v>1.672268907563025</v>
      </c>
      <c r="D20" s="42">
        <f t="shared" si="0"/>
        <v>2262.9422126050417</v>
      </c>
      <c r="G20" s="199"/>
      <c r="H20" s="216"/>
      <c r="I20" s="224"/>
      <c r="J20" s="218"/>
      <c r="M20" s="215"/>
      <c r="N20" s="216"/>
      <c r="O20" s="224"/>
      <c r="P20" s="218"/>
      <c r="S20" s="18"/>
      <c r="T20" s="19"/>
      <c r="U20" s="225"/>
      <c r="V20" s="218"/>
    </row>
    <row r="21" spans="1:22" x14ac:dyDescent="0.2">
      <c r="A21" s="18" t="s">
        <v>59</v>
      </c>
      <c r="B21" s="19">
        <v>2447</v>
      </c>
      <c r="C21" s="199">
        <v>2.1065162907268169</v>
      </c>
      <c r="D21" s="42">
        <f t="shared" si="0"/>
        <v>2850.5730234335838</v>
      </c>
      <c r="F21" s="838"/>
      <c r="G21" s="199"/>
      <c r="H21" s="216"/>
      <c r="I21" s="224"/>
      <c r="J21" s="218"/>
      <c r="M21" s="215"/>
      <c r="N21" s="216"/>
      <c r="O21" s="224"/>
      <c r="P21" s="218"/>
      <c r="S21" s="18"/>
      <c r="T21" s="19"/>
      <c r="U21" s="225"/>
      <c r="V21" s="218"/>
    </row>
    <row r="22" spans="1:22" x14ac:dyDescent="0.2">
      <c r="A22" s="18" t="s">
        <v>60</v>
      </c>
      <c r="B22" s="19">
        <v>2512</v>
      </c>
      <c r="C22" s="199">
        <v>0</v>
      </c>
      <c r="D22" s="42">
        <f t="shared" si="0"/>
        <v>0</v>
      </c>
      <c r="G22" s="199"/>
      <c r="H22" s="216"/>
      <c r="I22" s="224"/>
      <c r="J22" s="218"/>
      <c r="M22" s="215"/>
      <c r="N22" s="216"/>
      <c r="O22" s="224"/>
      <c r="P22" s="218"/>
      <c r="S22" s="18"/>
      <c r="T22" s="19"/>
      <c r="U22" s="225"/>
      <c r="V22" s="218"/>
    </row>
    <row r="23" spans="1:22" x14ac:dyDescent="0.2">
      <c r="A23" s="18" t="s">
        <v>61</v>
      </c>
      <c r="B23" s="19">
        <v>2456</v>
      </c>
      <c r="C23" s="199">
        <v>1.0056497175141244</v>
      </c>
      <c r="D23" s="42">
        <f t="shared" si="0"/>
        <v>1360.8619920903955</v>
      </c>
      <c r="G23" s="199"/>
      <c r="H23" s="216"/>
      <c r="I23" s="224"/>
      <c r="J23" s="218"/>
      <c r="M23" s="215"/>
      <c r="N23" s="216"/>
      <c r="O23" s="224"/>
      <c r="P23" s="218"/>
      <c r="S23" s="18"/>
      <c r="T23" s="19"/>
      <c r="U23" s="225"/>
      <c r="V23" s="218"/>
    </row>
    <row r="24" spans="1:22" x14ac:dyDescent="0.2">
      <c r="A24" s="18" t="s">
        <v>62</v>
      </c>
      <c r="B24" s="19">
        <v>2449</v>
      </c>
      <c r="C24" s="199">
        <v>0</v>
      </c>
      <c r="D24" s="42">
        <f t="shared" si="0"/>
        <v>0</v>
      </c>
      <c r="G24" s="199"/>
      <c r="H24" s="216"/>
      <c r="I24" s="224"/>
      <c r="J24" s="218"/>
      <c r="M24" s="215"/>
      <c r="N24" s="216"/>
      <c r="O24" s="224"/>
      <c r="P24" s="218"/>
      <c r="S24" s="18"/>
      <c r="T24" s="19"/>
      <c r="U24" s="225"/>
      <c r="V24" s="218"/>
    </row>
    <row r="25" spans="1:22" x14ac:dyDescent="0.2">
      <c r="A25" s="18" t="s">
        <v>63</v>
      </c>
      <c r="B25" s="19">
        <v>2448</v>
      </c>
      <c r="C25" s="199">
        <v>0</v>
      </c>
      <c r="D25" s="42">
        <f t="shared" si="0"/>
        <v>0</v>
      </c>
      <c r="G25" s="199"/>
      <c r="H25" s="216"/>
      <c r="I25" s="224"/>
      <c r="J25" s="218"/>
      <c r="M25" s="215"/>
      <c r="N25" s="216"/>
      <c r="O25" s="224"/>
      <c r="P25" s="218"/>
      <c r="S25" s="18"/>
      <c r="T25" s="19"/>
      <c r="U25" s="225"/>
      <c r="V25" s="218"/>
    </row>
    <row r="26" spans="1:22" x14ac:dyDescent="0.2">
      <c r="A26" s="18" t="s">
        <v>193</v>
      </c>
      <c r="B26" s="19">
        <v>2467</v>
      </c>
      <c r="C26" s="199">
        <v>0</v>
      </c>
      <c r="D26" s="42">
        <f t="shared" si="0"/>
        <v>0</v>
      </c>
      <c r="G26" s="199"/>
      <c r="H26" s="216"/>
      <c r="I26" s="224"/>
      <c r="J26" s="218"/>
      <c r="M26" s="215"/>
      <c r="N26" s="216"/>
      <c r="O26" s="224"/>
      <c r="P26" s="218"/>
      <c r="S26" s="18"/>
      <c r="T26" s="19"/>
      <c r="U26" s="225"/>
      <c r="V26" s="218"/>
    </row>
    <row r="27" spans="1:22" x14ac:dyDescent="0.2">
      <c r="A27" s="18" t="s">
        <v>65</v>
      </c>
      <c r="B27" s="19">
        <v>2455</v>
      </c>
      <c r="C27" s="199">
        <v>1.977715877437326</v>
      </c>
      <c r="D27" s="42">
        <f t="shared" si="0"/>
        <v>2676.2781532033428</v>
      </c>
      <c r="G27" s="199"/>
      <c r="H27" s="216"/>
      <c r="I27" s="224"/>
      <c r="J27" s="218"/>
      <c r="M27" s="215"/>
      <c r="N27" s="216"/>
      <c r="O27" s="224"/>
      <c r="P27" s="218"/>
      <c r="S27" s="18"/>
      <c r="T27" s="19"/>
      <c r="U27" s="225"/>
      <c r="V27" s="218"/>
    </row>
    <row r="28" spans="1:22" x14ac:dyDescent="0.2">
      <c r="A28" s="18" t="s">
        <v>66</v>
      </c>
      <c r="B28" s="19">
        <v>5203</v>
      </c>
      <c r="C28" s="199">
        <v>0.99792099792099798</v>
      </c>
      <c r="D28" s="42">
        <f t="shared" si="0"/>
        <v>1350.4033596673596</v>
      </c>
      <c r="G28" s="199"/>
      <c r="H28" s="216"/>
      <c r="I28" s="224"/>
      <c r="J28" s="218"/>
      <c r="M28" s="215"/>
      <c r="N28" s="216"/>
      <c r="O28" s="224"/>
      <c r="P28" s="218"/>
      <c r="S28" s="18"/>
      <c r="T28" s="19"/>
      <c r="U28" s="225"/>
      <c r="V28" s="218"/>
    </row>
    <row r="29" spans="1:22" x14ac:dyDescent="0.2">
      <c r="A29" s="18" t="s">
        <v>67</v>
      </c>
      <c r="B29" s="19">
        <v>2451</v>
      </c>
      <c r="C29" s="199">
        <v>0</v>
      </c>
      <c r="D29" s="42">
        <f t="shared" si="0"/>
        <v>0</v>
      </c>
      <c r="G29" s="199"/>
      <c r="H29" s="216"/>
      <c r="I29" s="224"/>
      <c r="J29" s="218"/>
      <c r="M29" s="215"/>
      <c r="N29" s="216"/>
      <c r="O29" s="224"/>
      <c r="P29" s="218"/>
      <c r="S29" s="18"/>
      <c r="T29" s="19"/>
      <c r="U29" s="225"/>
      <c r="V29" s="218"/>
    </row>
    <row r="30" spans="1:22" x14ac:dyDescent="0.2">
      <c r="A30" s="18" t="s">
        <v>68</v>
      </c>
      <c r="B30" s="19">
        <v>2409</v>
      </c>
      <c r="C30" s="199">
        <v>1.9504424778761063</v>
      </c>
      <c r="D30" s="42">
        <f t="shared" si="0"/>
        <v>2639.3713334513272</v>
      </c>
      <c r="G30" s="199"/>
      <c r="H30" s="216"/>
      <c r="I30" s="224"/>
      <c r="J30" s="218"/>
      <c r="M30" s="215"/>
      <c r="N30" s="216"/>
      <c r="O30" s="224"/>
      <c r="P30" s="218"/>
      <c r="S30" s="18"/>
      <c r="T30" s="19"/>
      <c r="U30" s="225"/>
      <c r="V30" s="218"/>
    </row>
    <row r="31" spans="1:22" x14ac:dyDescent="0.2">
      <c r="A31" s="18" t="s">
        <v>159</v>
      </c>
      <c r="B31" s="19">
        <v>3158</v>
      </c>
      <c r="C31" s="199">
        <v>0</v>
      </c>
      <c r="D31" s="42">
        <f t="shared" si="0"/>
        <v>0</v>
      </c>
      <c r="G31" s="199"/>
      <c r="H31" s="216"/>
      <c r="I31" s="224"/>
      <c r="J31" s="218"/>
      <c r="M31" s="215"/>
      <c r="N31" s="216"/>
      <c r="O31" s="224"/>
      <c r="P31" s="218"/>
      <c r="S31" s="18"/>
      <c r="T31" s="19"/>
      <c r="U31" s="225"/>
      <c r="V31" s="218"/>
    </row>
    <row r="32" spans="1:22" x14ac:dyDescent="0.2">
      <c r="A32" s="18" t="s">
        <v>69</v>
      </c>
      <c r="B32" s="19">
        <v>2619</v>
      </c>
      <c r="C32" s="199">
        <v>1.0934065934065935</v>
      </c>
      <c r="D32" s="42">
        <f t="shared" si="0"/>
        <v>1479.6160620879123</v>
      </c>
      <c r="G32" s="199"/>
      <c r="H32" s="216"/>
      <c r="I32" s="224"/>
      <c r="J32" s="218"/>
      <c r="M32" s="215"/>
      <c r="N32" s="216"/>
      <c r="O32" s="224"/>
      <c r="P32" s="218"/>
      <c r="S32" s="18"/>
      <c r="T32" s="19"/>
      <c r="U32" s="225"/>
      <c r="V32" s="218"/>
    </row>
    <row r="33" spans="1:22" x14ac:dyDescent="0.2">
      <c r="A33" s="18" t="s">
        <v>70</v>
      </c>
      <c r="B33" s="19">
        <v>2518</v>
      </c>
      <c r="C33" s="199">
        <v>2.0204081632653059</v>
      </c>
      <c r="D33" s="42">
        <f t="shared" si="0"/>
        <v>2734.0500673469382</v>
      </c>
      <c r="G33" s="199"/>
      <c r="H33" s="216"/>
      <c r="I33" s="224"/>
      <c r="J33" s="218"/>
      <c r="M33" s="215"/>
      <c r="N33" s="216"/>
      <c r="O33" s="224"/>
      <c r="P33" s="218"/>
      <c r="S33" s="18"/>
      <c r="T33" s="19"/>
      <c r="U33" s="225"/>
      <c r="V33" s="218"/>
    </row>
    <row r="34" spans="1:22" x14ac:dyDescent="0.2">
      <c r="A34" s="18" t="s">
        <v>71</v>
      </c>
      <c r="B34" s="19">
        <v>2457</v>
      </c>
      <c r="C34" s="199">
        <v>3.0598290598290601</v>
      </c>
      <c r="D34" s="42">
        <f t="shared" si="0"/>
        <v>4140.6117829059831</v>
      </c>
      <c r="G34" s="199"/>
      <c r="H34" s="216"/>
      <c r="I34" s="224"/>
      <c r="J34" s="218"/>
      <c r="M34" s="215"/>
      <c r="N34" s="216"/>
      <c r="O34" s="224"/>
      <c r="P34" s="218"/>
      <c r="S34" s="18"/>
      <c r="T34" s="19"/>
      <c r="U34" s="225"/>
      <c r="V34" s="218"/>
    </row>
    <row r="35" spans="1:22" x14ac:dyDescent="0.2">
      <c r="A35" s="18" t="s">
        <v>160</v>
      </c>
      <c r="B35" s="220">
        <v>2010</v>
      </c>
      <c r="C35" s="199">
        <v>0</v>
      </c>
      <c r="D35" s="42">
        <f t="shared" si="0"/>
        <v>0</v>
      </c>
      <c r="G35" s="199"/>
      <c r="H35" s="216"/>
      <c r="I35" s="224"/>
      <c r="J35" s="218"/>
      <c r="M35" s="215"/>
      <c r="N35" s="216"/>
      <c r="O35" s="224"/>
      <c r="P35" s="218"/>
      <c r="S35" s="18"/>
      <c r="T35" s="19"/>
      <c r="U35" s="225"/>
      <c r="V35" s="218"/>
    </row>
    <row r="36" spans="1:22" x14ac:dyDescent="0.2">
      <c r="A36" s="18" t="s">
        <v>73</v>
      </c>
      <c r="B36" s="19">
        <v>2002</v>
      </c>
      <c r="C36" s="199">
        <v>0.99532710280373826</v>
      </c>
      <c r="D36" s="42">
        <f t="shared" si="0"/>
        <v>1346.8932574766354</v>
      </c>
      <c r="G36" s="199"/>
      <c r="H36" s="216"/>
      <c r="I36" s="224"/>
      <c r="J36" s="218"/>
      <c r="M36" s="215"/>
      <c r="N36" s="216"/>
      <c r="O36" s="224"/>
      <c r="P36" s="218"/>
      <c r="S36" s="18"/>
      <c r="T36" s="19"/>
      <c r="U36" s="225"/>
      <c r="V36" s="218"/>
    </row>
    <row r="37" spans="1:22" x14ac:dyDescent="0.2">
      <c r="A37" s="18" t="s">
        <v>74</v>
      </c>
      <c r="B37" s="19">
        <v>3544</v>
      </c>
      <c r="C37" s="199">
        <v>0</v>
      </c>
      <c r="D37" s="42">
        <f t="shared" si="0"/>
        <v>0</v>
      </c>
      <c r="G37" s="199"/>
      <c r="H37" s="216"/>
      <c r="I37" s="224"/>
      <c r="J37" s="218"/>
      <c r="M37" s="215"/>
      <c r="N37" s="216"/>
      <c r="O37" s="224"/>
      <c r="P37" s="218"/>
      <c r="S37" s="18"/>
      <c r="T37" s="19"/>
      <c r="U37" s="225"/>
      <c r="V37" s="218"/>
    </row>
    <row r="38" spans="1:22" x14ac:dyDescent="0.2">
      <c r="A38" s="18" t="s">
        <v>161</v>
      </c>
      <c r="B38" s="19">
        <v>2006</v>
      </c>
      <c r="C38" s="199">
        <v>4.2051282051282053</v>
      </c>
      <c r="D38" s="42">
        <f t="shared" si="0"/>
        <v>5690.449712820513</v>
      </c>
      <c r="G38" s="199"/>
      <c r="H38" s="216"/>
      <c r="I38" s="224"/>
      <c r="J38" s="218"/>
      <c r="M38" s="215"/>
      <c r="N38" s="216"/>
      <c r="O38" s="224"/>
      <c r="P38" s="218"/>
      <c r="S38" s="18"/>
      <c r="T38" s="19"/>
      <c r="U38" s="225"/>
      <c r="V38" s="218"/>
    </row>
    <row r="39" spans="1:22" x14ac:dyDescent="0.2">
      <c r="A39" s="18" t="s">
        <v>76</v>
      </c>
      <c r="B39" s="19">
        <v>2434</v>
      </c>
      <c r="C39" s="199">
        <v>14.077889447236181</v>
      </c>
      <c r="D39" s="42">
        <f t="shared" si="0"/>
        <v>19050.43510075377</v>
      </c>
      <c r="G39" s="199"/>
      <c r="H39" s="216"/>
      <c r="I39" s="224"/>
      <c r="J39" s="218"/>
      <c r="M39" s="215"/>
      <c r="N39" s="216"/>
      <c r="O39" s="224"/>
      <c r="P39" s="218"/>
      <c r="S39" s="18"/>
      <c r="T39" s="19"/>
      <c r="U39" s="225"/>
      <c r="V39" s="218"/>
    </row>
    <row r="40" spans="1:22" x14ac:dyDescent="0.2">
      <c r="A40" s="18" t="s">
        <v>77</v>
      </c>
      <c r="B40" s="19">
        <v>2522</v>
      </c>
      <c r="C40" s="199">
        <v>2.0196078431372548</v>
      </c>
      <c r="D40" s="42">
        <f t="shared" si="0"/>
        <v>2732.9670607843136</v>
      </c>
      <c r="G40" s="199"/>
      <c r="H40" s="216"/>
      <c r="I40" s="224"/>
      <c r="J40" s="218"/>
      <c r="M40" s="215"/>
      <c r="N40" s="216"/>
      <c r="O40" s="224"/>
      <c r="P40" s="218"/>
      <c r="S40" s="18"/>
      <c r="T40" s="19"/>
      <c r="U40" s="225"/>
      <c r="V40" s="218"/>
    </row>
    <row r="41" spans="1:22" x14ac:dyDescent="0.2">
      <c r="A41" s="18" t="s">
        <v>78</v>
      </c>
      <c r="B41" s="19">
        <v>2436</v>
      </c>
      <c r="C41" s="199">
        <v>2.0511182108626196</v>
      </c>
      <c r="D41" s="42">
        <f t="shared" si="0"/>
        <v>2775.6074166134181</v>
      </c>
      <c r="G41" s="199"/>
      <c r="H41" s="216"/>
      <c r="I41" s="224"/>
      <c r="J41" s="218"/>
      <c r="M41" s="215"/>
      <c r="N41" s="216"/>
      <c r="O41" s="224"/>
      <c r="P41" s="218"/>
      <c r="S41" s="18"/>
      <c r="T41" s="19"/>
      <c r="U41" s="225"/>
      <c r="V41" s="218"/>
    </row>
    <row r="42" spans="1:22" x14ac:dyDescent="0.2">
      <c r="A42" s="18" t="s">
        <v>79</v>
      </c>
      <c r="B42" s="19">
        <v>2452</v>
      </c>
      <c r="C42" s="199">
        <v>1.0197044334975369</v>
      </c>
      <c r="D42" s="42">
        <f t="shared" si="0"/>
        <v>1379.8810684729062</v>
      </c>
      <c r="G42" s="199"/>
      <c r="H42" s="216"/>
      <c r="I42" s="224"/>
      <c r="J42" s="218"/>
      <c r="M42" s="215"/>
      <c r="N42" s="216"/>
      <c r="O42" s="224"/>
      <c r="P42" s="218"/>
      <c r="S42" s="18"/>
      <c r="T42" s="19"/>
      <c r="U42" s="225"/>
      <c r="V42" s="218"/>
    </row>
    <row r="43" spans="1:22" x14ac:dyDescent="0.2">
      <c r="A43" s="18" t="s">
        <v>80</v>
      </c>
      <c r="B43" s="19">
        <v>2627</v>
      </c>
      <c r="C43" s="199">
        <v>0</v>
      </c>
      <c r="D43" s="42">
        <f t="shared" si="0"/>
        <v>0</v>
      </c>
      <c r="G43" s="199"/>
      <c r="H43" s="216"/>
      <c r="I43" s="224"/>
      <c r="J43" s="218"/>
      <c r="M43" s="215"/>
      <c r="N43" s="216"/>
      <c r="O43" s="224"/>
      <c r="P43" s="218"/>
      <c r="S43" s="18"/>
      <c r="T43" s="19"/>
      <c r="U43" s="225"/>
      <c r="V43" s="218"/>
    </row>
    <row r="44" spans="1:22" x14ac:dyDescent="0.2">
      <c r="A44" s="18" t="s">
        <v>81</v>
      </c>
      <c r="B44" s="19">
        <v>2009</v>
      </c>
      <c r="C44" s="199">
        <v>0</v>
      </c>
      <c r="D44" s="42">
        <f t="shared" si="0"/>
        <v>0</v>
      </c>
      <c r="G44" s="199"/>
      <c r="H44" s="216"/>
      <c r="I44" s="224"/>
      <c r="J44" s="218"/>
      <c r="M44" s="215"/>
      <c r="N44" s="216"/>
      <c r="O44" s="224"/>
      <c r="P44" s="218"/>
      <c r="S44" s="18"/>
      <c r="T44" s="19"/>
      <c r="U44" s="225"/>
      <c r="V44" s="218"/>
    </row>
    <row r="45" spans="1:22" x14ac:dyDescent="0.2">
      <c r="A45" s="18" t="s">
        <v>162</v>
      </c>
      <c r="B45" s="19">
        <v>2473</v>
      </c>
      <c r="C45" s="199">
        <v>3.970260223048327</v>
      </c>
      <c r="D45" s="42">
        <f t="shared" si="0"/>
        <v>5372.6224371747212</v>
      </c>
      <c r="G45" s="199"/>
      <c r="H45" s="216"/>
      <c r="I45" s="224"/>
      <c r="J45" s="218"/>
      <c r="M45" s="215"/>
      <c r="N45" s="216"/>
      <c r="O45" s="224"/>
      <c r="P45" s="218"/>
      <c r="S45" s="18"/>
      <c r="T45" s="19"/>
      <c r="U45" s="225"/>
      <c r="V45" s="218"/>
    </row>
    <row r="46" spans="1:22" x14ac:dyDescent="0.2">
      <c r="A46" s="18" t="s">
        <v>84</v>
      </c>
      <c r="B46" s="19">
        <v>2471</v>
      </c>
      <c r="C46" s="199">
        <v>1.9885057471264367</v>
      </c>
      <c r="D46" s="42">
        <f t="shared" si="0"/>
        <v>2690.8791850574712</v>
      </c>
      <c r="G46" s="199"/>
      <c r="H46" s="216"/>
      <c r="I46" s="224"/>
      <c r="J46" s="218"/>
      <c r="M46" s="215"/>
      <c r="N46" s="216"/>
      <c r="O46" s="224"/>
      <c r="P46" s="218"/>
      <c r="S46" s="18"/>
      <c r="T46" s="19"/>
      <c r="U46" s="225"/>
      <c r="V46" s="218"/>
    </row>
    <row r="47" spans="1:22" x14ac:dyDescent="0.2">
      <c r="A47" s="18" t="s">
        <v>82</v>
      </c>
      <c r="B47" s="19">
        <v>2420</v>
      </c>
      <c r="C47" s="199">
        <v>3.0525164113785559</v>
      </c>
      <c r="D47" s="42">
        <f t="shared" si="0"/>
        <v>4130.716184901532</v>
      </c>
      <c r="G47" s="199"/>
      <c r="H47" s="216"/>
      <c r="I47" s="224"/>
      <c r="J47" s="218"/>
      <c r="M47" s="215"/>
      <c r="N47" s="216"/>
      <c r="O47" s="224"/>
      <c r="P47" s="218"/>
      <c r="S47" s="18"/>
      <c r="T47" s="19"/>
      <c r="U47" s="225"/>
      <c r="V47" s="218"/>
    </row>
    <row r="48" spans="1:22" x14ac:dyDescent="0.2">
      <c r="A48" s="18" t="s">
        <v>85</v>
      </c>
      <c r="B48" s="19">
        <v>2003</v>
      </c>
      <c r="C48" s="199">
        <v>0.97652582159624413</v>
      </c>
      <c r="D48" s="42">
        <f t="shared" si="0"/>
        <v>1321.4510497652582</v>
      </c>
      <c r="G48" s="199"/>
      <c r="H48" s="216"/>
      <c r="I48" s="224"/>
      <c r="J48" s="218"/>
      <c r="M48" s="215"/>
      <c r="N48" s="216"/>
      <c r="O48" s="224"/>
      <c r="P48" s="218"/>
      <c r="S48" s="18"/>
      <c r="T48" s="19"/>
      <c r="U48" s="225"/>
      <c r="V48" s="218"/>
    </row>
    <row r="49" spans="1:22" x14ac:dyDescent="0.2">
      <c r="A49" s="18" t="s">
        <v>86</v>
      </c>
      <c r="B49" s="19">
        <v>2423</v>
      </c>
      <c r="C49" s="199">
        <v>0</v>
      </c>
      <c r="D49" s="42">
        <f t="shared" si="0"/>
        <v>0</v>
      </c>
      <c r="G49" s="199"/>
      <c r="H49" s="216"/>
      <c r="I49" s="224"/>
      <c r="J49" s="218"/>
      <c r="M49" s="215"/>
      <c r="N49" s="216"/>
      <c r="O49" s="224"/>
      <c r="P49" s="218"/>
      <c r="S49" s="18"/>
      <c r="T49" s="19"/>
      <c r="U49" s="225"/>
      <c r="V49" s="218"/>
    </row>
    <row r="50" spans="1:22" x14ac:dyDescent="0.2">
      <c r="A50" s="18" t="s">
        <v>87</v>
      </c>
      <c r="B50" s="19">
        <v>2424</v>
      </c>
      <c r="C50" s="199">
        <v>1.9777777777777779</v>
      </c>
      <c r="D50" s="42">
        <f t="shared" si="0"/>
        <v>2676.3619177777778</v>
      </c>
      <c r="G50" s="199"/>
      <c r="H50" s="216"/>
      <c r="I50" s="224"/>
      <c r="J50" s="218"/>
      <c r="M50" s="215"/>
      <c r="N50" s="216"/>
      <c r="O50" s="224"/>
      <c r="P50" s="218"/>
      <c r="S50" s="18"/>
      <c r="T50" s="19"/>
      <c r="U50" s="225"/>
      <c r="V50" s="218"/>
    </row>
    <row r="51" spans="1:22" x14ac:dyDescent="0.2">
      <c r="A51" s="18" t="s">
        <v>88</v>
      </c>
      <c r="B51" s="19">
        <v>2439</v>
      </c>
      <c r="C51" s="199">
        <v>0</v>
      </c>
      <c r="D51" s="42">
        <f t="shared" si="0"/>
        <v>0</v>
      </c>
      <c r="G51" s="199"/>
      <c r="H51" s="216"/>
      <c r="I51" s="224"/>
      <c r="J51" s="218"/>
      <c r="M51" s="215"/>
      <c r="N51" s="216"/>
      <c r="O51" s="224"/>
      <c r="P51" s="218"/>
      <c r="S51" s="18"/>
      <c r="T51" s="19"/>
      <c r="U51" s="225"/>
      <c r="V51" s="218"/>
    </row>
    <row r="52" spans="1:22" x14ac:dyDescent="0.2">
      <c r="A52" s="18" t="s">
        <v>89</v>
      </c>
      <c r="B52" s="19">
        <v>2440</v>
      </c>
      <c r="C52" s="199">
        <v>0</v>
      </c>
      <c r="D52" s="42">
        <f t="shared" si="0"/>
        <v>0</v>
      </c>
      <c r="G52" s="199"/>
      <c r="H52" s="216"/>
      <c r="I52" s="224"/>
      <c r="J52" s="218"/>
      <c r="M52" s="215"/>
      <c r="N52" s="216"/>
      <c r="O52" s="224"/>
      <c r="P52" s="218"/>
      <c r="S52" s="18"/>
      <c r="T52" s="19"/>
      <c r="U52" s="225"/>
      <c r="V52" s="218"/>
    </row>
    <row r="53" spans="1:22" x14ac:dyDescent="0.2">
      <c r="A53" s="18" t="s">
        <v>163</v>
      </c>
      <c r="B53" s="19">
        <v>2462</v>
      </c>
      <c r="C53" s="199">
        <v>0</v>
      </c>
      <c r="D53" s="42">
        <f t="shared" si="0"/>
        <v>0</v>
      </c>
      <c r="G53" s="199"/>
      <c r="H53" s="216"/>
      <c r="I53" s="224"/>
      <c r="J53" s="218"/>
      <c r="M53" s="215"/>
      <c r="N53" s="216"/>
      <c r="O53" s="224"/>
      <c r="P53" s="218"/>
      <c r="S53" s="18"/>
      <c r="T53" s="19"/>
      <c r="U53" s="225"/>
      <c r="V53" s="218"/>
    </row>
    <row r="54" spans="1:22" x14ac:dyDescent="0.2">
      <c r="A54" s="18" t="s">
        <v>91</v>
      </c>
      <c r="B54" s="19">
        <v>2463</v>
      </c>
      <c r="C54" s="199">
        <v>0</v>
      </c>
      <c r="D54" s="42">
        <f t="shared" si="0"/>
        <v>0</v>
      </c>
      <c r="G54" s="199"/>
      <c r="H54" s="216"/>
      <c r="I54" s="224"/>
      <c r="J54" s="218"/>
      <c r="M54" s="215"/>
      <c r="N54" s="216"/>
      <c r="O54" s="224"/>
      <c r="P54" s="218"/>
      <c r="S54" s="18"/>
      <c r="T54" s="19"/>
      <c r="U54" s="225"/>
      <c r="V54" s="218"/>
    </row>
    <row r="55" spans="1:22" x14ac:dyDescent="0.2">
      <c r="A55" s="18" t="s">
        <v>92</v>
      </c>
      <c r="B55" s="19">
        <v>2505</v>
      </c>
      <c r="C55" s="199">
        <v>0</v>
      </c>
      <c r="D55" s="42">
        <f t="shared" si="0"/>
        <v>0</v>
      </c>
      <c r="G55" s="199"/>
      <c r="H55" s="216"/>
      <c r="I55" s="224"/>
      <c r="J55" s="218"/>
      <c r="M55" s="215"/>
      <c r="N55" s="216"/>
      <c r="O55" s="224"/>
      <c r="P55" s="218"/>
      <c r="S55" s="18"/>
      <c r="T55" s="19"/>
      <c r="U55" s="225"/>
      <c r="V55" s="218"/>
    </row>
    <row r="56" spans="1:22" x14ac:dyDescent="0.2">
      <c r="A56" s="18" t="s">
        <v>93</v>
      </c>
      <c r="B56" s="19">
        <v>2000</v>
      </c>
      <c r="C56" s="199">
        <v>0.95238095238095233</v>
      </c>
      <c r="D56" s="42">
        <f t="shared" si="0"/>
        <v>1288.7778095238093</v>
      </c>
      <c r="G56" s="199"/>
      <c r="H56" s="216"/>
      <c r="I56" s="224"/>
      <c r="J56" s="218"/>
      <c r="M56" s="215"/>
      <c r="N56" s="216"/>
      <c r="O56" s="224"/>
      <c r="P56" s="218"/>
      <c r="S56" s="18"/>
      <c r="T56" s="19"/>
      <c r="U56" s="225"/>
      <c r="V56" s="218"/>
    </row>
    <row r="57" spans="1:22" x14ac:dyDescent="0.2">
      <c r="A57" s="18" t="s">
        <v>94</v>
      </c>
      <c r="B57" s="19">
        <v>2458</v>
      </c>
      <c r="C57" s="199">
        <v>1.0074626865671641</v>
      </c>
      <c r="D57" s="42">
        <f t="shared" si="0"/>
        <v>1363.3153320895522</v>
      </c>
      <c r="G57" s="199"/>
      <c r="H57" s="216"/>
      <c r="I57" s="224"/>
      <c r="J57" s="218"/>
      <c r="M57" s="215"/>
      <c r="N57" s="216"/>
      <c r="O57" s="224"/>
      <c r="P57" s="218"/>
      <c r="S57" s="18"/>
      <c r="T57" s="19"/>
      <c r="U57" s="225"/>
      <c r="V57" s="218"/>
    </row>
    <row r="58" spans="1:22" x14ac:dyDescent="0.2">
      <c r="A58" s="18" t="s">
        <v>95</v>
      </c>
      <c r="B58" s="19">
        <v>2001</v>
      </c>
      <c r="C58" s="199">
        <v>3.2240259740259738</v>
      </c>
      <c r="D58" s="42">
        <f t="shared" si="0"/>
        <v>4362.8057892857141</v>
      </c>
      <c r="G58" s="199"/>
      <c r="H58" s="216"/>
      <c r="I58" s="224"/>
      <c r="J58" s="218"/>
      <c r="M58" s="215"/>
      <c r="N58" s="216"/>
      <c r="O58" s="224"/>
      <c r="P58" s="218"/>
      <c r="S58" s="18"/>
      <c r="T58" s="19"/>
      <c r="U58" s="225"/>
      <c r="V58" s="218"/>
    </row>
    <row r="59" spans="1:22" x14ac:dyDescent="0.2">
      <c r="A59" s="18" t="s">
        <v>96</v>
      </c>
      <c r="B59" s="19">
        <v>2429</v>
      </c>
      <c r="C59" s="199">
        <v>2.0666666666666669</v>
      </c>
      <c r="D59" s="42">
        <f t="shared" si="0"/>
        <v>2796.6478466666667</v>
      </c>
      <c r="G59" s="199"/>
      <c r="H59" s="216"/>
      <c r="I59" s="224"/>
      <c r="J59" s="218"/>
      <c r="M59" s="215"/>
      <c r="N59" s="216"/>
      <c r="O59" s="224"/>
      <c r="P59" s="218"/>
      <c r="S59" s="18"/>
      <c r="T59" s="19"/>
      <c r="U59" s="225"/>
      <c r="V59" s="218"/>
    </row>
    <row r="60" spans="1:22" x14ac:dyDescent="0.2">
      <c r="A60" s="18" t="s">
        <v>97</v>
      </c>
      <c r="B60" s="19">
        <v>2444</v>
      </c>
      <c r="C60" s="199">
        <v>1.0048076923076923</v>
      </c>
      <c r="D60" s="42">
        <f t="shared" si="0"/>
        <v>1359.7225495192306</v>
      </c>
      <c r="G60" s="199"/>
      <c r="H60" s="216"/>
      <c r="I60" s="224"/>
      <c r="J60" s="218"/>
      <c r="M60" s="215"/>
      <c r="N60" s="216"/>
      <c r="O60" s="224"/>
      <c r="P60" s="218"/>
      <c r="S60" s="18"/>
      <c r="T60" s="19"/>
      <c r="U60" s="225"/>
      <c r="V60" s="218"/>
    </row>
    <row r="61" spans="1:22" x14ac:dyDescent="0.2">
      <c r="A61" s="18" t="s">
        <v>98</v>
      </c>
      <c r="B61" s="19">
        <v>5209</v>
      </c>
      <c r="C61" s="199">
        <v>0</v>
      </c>
      <c r="D61" s="42">
        <f t="shared" si="0"/>
        <v>0</v>
      </c>
      <c r="G61" s="199"/>
      <c r="H61" s="216"/>
      <c r="I61" s="224"/>
      <c r="J61" s="218"/>
      <c r="M61" s="215"/>
      <c r="N61" s="216"/>
      <c r="O61" s="224"/>
      <c r="P61" s="218"/>
      <c r="S61" s="18"/>
      <c r="T61" s="19"/>
      <c r="U61" s="225"/>
      <c r="V61" s="218"/>
    </row>
    <row r="62" spans="1:22" x14ac:dyDescent="0.2">
      <c r="A62" s="18" t="s">
        <v>99</v>
      </c>
      <c r="B62" s="19">
        <v>2469</v>
      </c>
      <c r="C62" s="199">
        <v>1.0377833753148615</v>
      </c>
      <c r="D62" s="42">
        <f t="shared" si="0"/>
        <v>1404.3457944584384</v>
      </c>
      <c r="G62" s="199"/>
      <c r="H62" s="216"/>
      <c r="I62" s="224"/>
      <c r="J62" s="218"/>
      <c r="M62" s="215"/>
      <c r="N62" s="216"/>
      <c r="O62" s="224"/>
      <c r="P62" s="218"/>
      <c r="S62" s="18"/>
      <c r="T62" s="19"/>
      <c r="U62" s="225"/>
      <c r="V62" s="218"/>
    </row>
    <row r="63" spans="1:22" x14ac:dyDescent="0.2">
      <c r="A63" s="18" t="s">
        <v>100</v>
      </c>
      <c r="B63" s="19">
        <v>2430</v>
      </c>
      <c r="C63" s="199">
        <v>0</v>
      </c>
      <c r="D63" s="42">
        <f t="shared" si="0"/>
        <v>0</v>
      </c>
      <c r="G63" s="199"/>
      <c r="H63" s="216"/>
      <c r="I63" s="224"/>
      <c r="J63" s="218"/>
      <c r="M63" s="215"/>
      <c r="N63" s="216"/>
      <c r="O63" s="224"/>
      <c r="P63" s="218"/>
      <c r="S63" s="18"/>
      <c r="T63" s="19"/>
      <c r="U63" s="225"/>
      <c r="V63" s="218"/>
    </row>
    <row r="64" spans="1:22" x14ac:dyDescent="0.2">
      <c r="A64" s="18" t="s">
        <v>101</v>
      </c>
      <c r="B64" s="19">
        <v>2466</v>
      </c>
      <c r="C64" s="199">
        <v>1.9759036144578315</v>
      </c>
      <c r="D64" s="42">
        <f t="shared" si="0"/>
        <v>2673.8257686746988</v>
      </c>
      <c r="G64" s="199"/>
      <c r="H64" s="216"/>
      <c r="I64" s="224"/>
      <c r="J64" s="218"/>
      <c r="M64" s="215"/>
      <c r="N64" s="216"/>
      <c r="O64" s="224"/>
      <c r="P64" s="218"/>
      <c r="S64" s="18"/>
      <c r="T64" s="19"/>
      <c r="U64" s="225"/>
      <c r="V64" s="218"/>
    </row>
    <row r="65" spans="1:22" x14ac:dyDescent="0.2">
      <c r="A65" s="18" t="s">
        <v>102</v>
      </c>
      <c r="B65" s="19">
        <v>3543</v>
      </c>
      <c r="C65" s="199">
        <v>0</v>
      </c>
      <c r="D65" s="42">
        <f t="shared" si="0"/>
        <v>0</v>
      </c>
      <c r="G65" s="199"/>
      <c r="H65" s="216"/>
      <c r="I65" s="224"/>
      <c r="J65" s="218"/>
      <c r="M65" s="215"/>
      <c r="N65" s="216"/>
      <c r="O65" s="224"/>
      <c r="P65" s="218"/>
      <c r="S65" s="18"/>
      <c r="T65" s="19"/>
      <c r="U65" s="225"/>
      <c r="V65" s="218"/>
    </row>
    <row r="66" spans="1:22" x14ac:dyDescent="0.2">
      <c r="A66" s="18" t="s">
        <v>104</v>
      </c>
      <c r="B66" s="19">
        <v>3531</v>
      </c>
      <c r="C66" s="199">
        <v>0</v>
      </c>
      <c r="D66" s="42">
        <f t="shared" si="0"/>
        <v>0</v>
      </c>
      <c r="G66" s="199"/>
      <c r="H66" s="216"/>
      <c r="I66" s="224"/>
      <c r="J66" s="218"/>
      <c r="M66" s="215"/>
      <c r="N66" s="216"/>
      <c r="O66" s="224"/>
      <c r="P66" s="218"/>
      <c r="S66" s="18"/>
      <c r="T66" s="19"/>
      <c r="U66" s="225"/>
      <c r="V66" s="218"/>
    </row>
    <row r="67" spans="1:22" x14ac:dyDescent="0.2">
      <c r="A67" s="18" t="s">
        <v>164</v>
      </c>
      <c r="B67" s="19">
        <v>3526</v>
      </c>
      <c r="C67" s="199">
        <v>0</v>
      </c>
      <c r="D67" s="42">
        <f t="shared" si="0"/>
        <v>0</v>
      </c>
      <c r="G67" s="199"/>
      <c r="H67" s="216"/>
      <c r="I67" s="224"/>
      <c r="J67" s="218"/>
      <c r="M67" s="215"/>
      <c r="N67" s="216"/>
      <c r="O67" s="224"/>
      <c r="P67" s="218"/>
      <c r="S67" s="18"/>
      <c r="T67" s="19"/>
      <c r="U67" s="225"/>
      <c r="V67" s="218"/>
    </row>
    <row r="68" spans="1:22" x14ac:dyDescent="0.2">
      <c r="A68" s="18" t="s">
        <v>165</v>
      </c>
      <c r="B68" s="19">
        <v>3535</v>
      </c>
      <c r="C68" s="199">
        <v>0</v>
      </c>
      <c r="D68" s="42">
        <f t="shared" si="0"/>
        <v>0</v>
      </c>
      <c r="G68" s="199"/>
      <c r="H68" s="216"/>
      <c r="I68" s="224"/>
      <c r="J68" s="218"/>
      <c r="M68" s="215"/>
      <c r="N68" s="216"/>
      <c r="O68" s="224"/>
      <c r="P68" s="218"/>
      <c r="S68" s="18"/>
      <c r="T68" s="19"/>
      <c r="U68" s="225"/>
      <c r="V68" s="218"/>
    </row>
    <row r="69" spans="1:22" x14ac:dyDescent="0.2">
      <c r="A69" s="21" t="s">
        <v>107</v>
      </c>
      <c r="B69" s="19">
        <v>2008</v>
      </c>
      <c r="C69" s="199">
        <v>0</v>
      </c>
      <c r="D69" s="42">
        <f t="shared" si="0"/>
        <v>0</v>
      </c>
      <c r="G69" s="199"/>
      <c r="H69" s="216"/>
      <c r="I69" s="224"/>
      <c r="J69" s="218"/>
      <c r="M69" s="217"/>
      <c r="N69" s="216"/>
      <c r="O69" s="224"/>
      <c r="P69" s="218"/>
      <c r="S69" s="21"/>
      <c r="T69" s="19"/>
      <c r="U69" s="225"/>
      <c r="V69" s="218"/>
    </row>
    <row r="70" spans="1:22" x14ac:dyDescent="0.2">
      <c r="A70" s="18" t="s">
        <v>166</v>
      </c>
      <c r="B70" s="19">
        <v>3542</v>
      </c>
      <c r="C70" s="199">
        <v>3.0509915014164308</v>
      </c>
      <c r="D70" s="42">
        <f t="shared" si="0"/>
        <v>4128.6526512747878</v>
      </c>
      <c r="G70" s="199"/>
      <c r="H70" s="216"/>
      <c r="I70" s="224"/>
      <c r="J70" s="218"/>
      <c r="M70" s="215"/>
      <c r="N70" s="216"/>
      <c r="O70" s="224"/>
      <c r="P70" s="218"/>
      <c r="S70" s="18"/>
      <c r="T70" s="19"/>
      <c r="U70" s="225"/>
      <c r="V70" s="218"/>
    </row>
    <row r="71" spans="1:22" x14ac:dyDescent="0.2">
      <c r="A71" s="18" t="s">
        <v>167</v>
      </c>
      <c r="B71" s="19">
        <v>3528</v>
      </c>
      <c r="C71" s="199">
        <v>1.0383480825958702</v>
      </c>
      <c r="D71" s="42">
        <f t="shared" ref="D71:D76" si="1">C$5*C71</f>
        <v>1405.1099657817108</v>
      </c>
      <c r="G71" s="199"/>
      <c r="H71" s="216"/>
      <c r="I71" s="224"/>
      <c r="J71" s="218"/>
      <c r="M71" s="215"/>
      <c r="N71" s="216"/>
      <c r="O71" s="224"/>
      <c r="P71" s="218"/>
      <c r="S71" s="18"/>
      <c r="T71" s="19"/>
      <c r="U71" s="225"/>
      <c r="V71" s="218"/>
    </row>
    <row r="72" spans="1:22" x14ac:dyDescent="0.2">
      <c r="A72" s="18" t="s">
        <v>168</v>
      </c>
      <c r="B72" s="19">
        <v>3534</v>
      </c>
      <c r="C72" s="199">
        <v>1.9999999999999998</v>
      </c>
      <c r="D72" s="42">
        <f t="shared" si="1"/>
        <v>2706.4333999999994</v>
      </c>
      <c r="G72" s="199"/>
      <c r="H72" s="216"/>
      <c r="I72" s="224"/>
      <c r="J72" s="218"/>
      <c r="M72" s="215"/>
      <c r="N72" s="216"/>
      <c r="O72" s="224"/>
      <c r="P72" s="218"/>
      <c r="S72" s="18"/>
      <c r="T72" s="19"/>
      <c r="U72" s="225"/>
      <c r="V72" s="218"/>
    </row>
    <row r="73" spans="1:22" x14ac:dyDescent="0.2">
      <c r="A73" s="18" t="s">
        <v>169</v>
      </c>
      <c r="B73" s="19">
        <v>3532</v>
      </c>
      <c r="C73" s="199">
        <v>0</v>
      </c>
      <c r="D73" s="42">
        <f t="shared" si="1"/>
        <v>0</v>
      </c>
      <c r="G73" s="199"/>
      <c r="H73" s="216"/>
      <c r="I73" s="224"/>
      <c r="J73" s="218"/>
      <c r="M73" s="215"/>
      <c r="N73" s="216"/>
      <c r="O73" s="224"/>
      <c r="P73" s="218"/>
      <c r="S73" s="18"/>
      <c r="T73" s="19"/>
      <c r="U73" s="225"/>
      <c r="V73" s="218"/>
    </row>
    <row r="74" spans="1:22" x14ac:dyDescent="0.2">
      <c r="A74" s="18" t="s">
        <v>112</v>
      </c>
      <c r="B74" s="19">
        <v>3546</v>
      </c>
      <c r="C74" s="199">
        <v>2.1362725450901801</v>
      </c>
      <c r="D74" s="42">
        <f t="shared" si="1"/>
        <v>2890.8396837675346</v>
      </c>
      <c r="G74" s="199"/>
      <c r="H74" s="216"/>
      <c r="I74" s="224"/>
      <c r="J74" s="218"/>
      <c r="M74" s="215"/>
      <c r="N74" s="216"/>
      <c r="O74" s="224"/>
      <c r="P74" s="218"/>
      <c r="S74" s="18"/>
      <c r="T74" s="19"/>
      <c r="U74" s="225"/>
      <c r="V74" s="218"/>
    </row>
    <row r="75" spans="1:22" x14ac:dyDescent="0.2">
      <c r="A75" s="18" t="s">
        <v>170</v>
      </c>
      <c r="B75" s="19">
        <v>3530</v>
      </c>
      <c r="C75" s="199">
        <v>2.0664451827242525</v>
      </c>
      <c r="D75" s="42">
        <f t="shared" si="1"/>
        <v>2796.3481308970099</v>
      </c>
      <c r="G75" s="199"/>
      <c r="H75" s="216"/>
      <c r="I75" s="224"/>
      <c r="J75" s="218"/>
      <c r="M75" s="215"/>
      <c r="N75" s="216"/>
      <c r="O75" s="224"/>
      <c r="P75" s="218"/>
      <c r="S75" s="18"/>
      <c r="T75" s="19"/>
      <c r="U75" s="225"/>
      <c r="V75" s="218"/>
    </row>
    <row r="76" spans="1:22" x14ac:dyDescent="0.2">
      <c r="A76" s="18" t="s">
        <v>114</v>
      </c>
      <c r="B76" s="19">
        <v>2459</v>
      </c>
      <c r="C76" s="199">
        <v>0</v>
      </c>
      <c r="D76" s="42">
        <f t="shared" si="1"/>
        <v>0</v>
      </c>
      <c r="G76" s="199"/>
      <c r="H76" s="216"/>
      <c r="I76" s="224"/>
      <c r="J76" s="218"/>
      <c r="M76" s="215"/>
      <c r="N76" s="216"/>
      <c r="O76" s="224"/>
      <c r="P76" s="218"/>
      <c r="S76" s="18"/>
      <c r="T76" s="19"/>
      <c r="U76" s="225"/>
      <c r="V76" s="218"/>
    </row>
    <row r="77" spans="1:22" x14ac:dyDescent="0.2">
      <c r="A77" s="18"/>
      <c r="B77" s="19"/>
      <c r="C77" s="185"/>
      <c r="D77" s="38"/>
      <c r="G77" s="185"/>
      <c r="H77" s="216"/>
      <c r="I77" s="224"/>
      <c r="J77" s="211"/>
      <c r="M77" s="215"/>
      <c r="N77" s="216"/>
      <c r="O77" s="224"/>
      <c r="P77" s="211"/>
      <c r="S77" s="18"/>
      <c r="T77" s="19"/>
      <c r="U77" s="225"/>
      <c r="V77" s="211"/>
    </row>
    <row r="78" spans="1:22" x14ac:dyDescent="0.2">
      <c r="A78" s="9" t="s">
        <v>171</v>
      </c>
      <c r="B78" s="9" t="s">
        <v>171</v>
      </c>
      <c r="C78" s="186">
        <f>SUM(C7:C76)</f>
        <v>88.139816370182928</v>
      </c>
      <c r="D78" s="40">
        <f>SUM(D7:D76)</f>
        <v>119272.27144706488</v>
      </c>
      <c r="G78" s="186"/>
      <c r="H78" s="212"/>
      <c r="I78" s="226"/>
      <c r="J78" s="218"/>
      <c r="M78" s="212"/>
      <c r="N78" s="212"/>
      <c r="O78" s="226"/>
      <c r="P78" s="218"/>
      <c r="S78" s="9"/>
      <c r="T78" s="9"/>
      <c r="U78" s="227"/>
      <c r="V78" s="222"/>
    </row>
    <row r="79" spans="1:22" x14ac:dyDescent="0.2">
      <c r="A79" s="18"/>
      <c r="B79" s="19"/>
      <c r="C79" s="185"/>
      <c r="D79" s="38"/>
      <c r="G79" s="185"/>
      <c r="H79" s="216"/>
      <c r="I79" s="224"/>
      <c r="J79" s="211"/>
      <c r="M79" s="215"/>
      <c r="N79" s="216"/>
      <c r="O79" s="224"/>
      <c r="P79" s="211"/>
      <c r="S79" s="18"/>
      <c r="T79" s="19"/>
      <c r="U79" s="225"/>
      <c r="V79" s="211"/>
    </row>
    <row r="80" spans="1:22" x14ac:dyDescent="0.2">
      <c r="A80" s="18" t="s">
        <v>127</v>
      </c>
      <c r="B80" s="19">
        <v>5402</v>
      </c>
      <c r="C80" s="199">
        <v>6.9016272189349115</v>
      </c>
      <c r="D80" s="42">
        <f t="shared" ref="D80:D92" si="2">C$5*C80</f>
        <v>9339.3972098372778</v>
      </c>
      <c r="G80" s="199"/>
      <c r="H80" s="216"/>
      <c r="I80" s="224"/>
      <c r="J80" s="218"/>
      <c r="M80" s="215"/>
      <c r="N80" s="216"/>
      <c r="O80" s="224"/>
      <c r="P80" s="218"/>
      <c r="S80" s="18"/>
      <c r="T80" s="19"/>
      <c r="U80" s="225"/>
      <c r="V80" s="218"/>
    </row>
    <row r="81" spans="1:22" x14ac:dyDescent="0.2">
      <c r="A81" s="18" t="s">
        <v>116</v>
      </c>
      <c r="B81" s="19">
        <v>4608</v>
      </c>
      <c r="C81" s="199">
        <v>5.5614617940199329</v>
      </c>
      <c r="D81" s="42">
        <f t="shared" si="2"/>
        <v>7525.862976079733</v>
      </c>
      <c r="G81" s="199"/>
      <c r="H81" s="216"/>
      <c r="I81" s="224"/>
      <c r="J81" s="218"/>
      <c r="M81" s="215"/>
      <c r="N81" s="216"/>
      <c r="O81" s="224"/>
      <c r="P81" s="218"/>
      <c r="S81" s="18"/>
      <c r="T81" s="19"/>
      <c r="U81" s="225"/>
      <c r="V81" s="218"/>
    </row>
    <row r="82" spans="1:22" x14ac:dyDescent="0.2">
      <c r="A82" s="18" t="s">
        <v>172</v>
      </c>
      <c r="B82" s="19">
        <v>4178</v>
      </c>
      <c r="C82" s="199">
        <v>5.105386416861827</v>
      </c>
      <c r="D82" s="42">
        <f t="shared" si="2"/>
        <v>6908.6941592505855</v>
      </c>
      <c r="G82" s="199"/>
      <c r="H82" s="216"/>
      <c r="I82" s="224"/>
      <c r="J82" s="218"/>
      <c r="M82" s="215"/>
      <c r="N82" s="216"/>
      <c r="O82" s="224"/>
      <c r="P82" s="218"/>
      <c r="S82" s="18"/>
      <c r="T82" s="19"/>
      <c r="U82" s="225"/>
      <c r="V82" s="218"/>
    </row>
    <row r="83" spans="1:22" x14ac:dyDescent="0.2">
      <c r="A83" s="18" t="s">
        <v>118</v>
      </c>
      <c r="B83" s="19">
        <v>4181</v>
      </c>
      <c r="C83" s="199">
        <v>2.9366972477064222</v>
      </c>
      <c r="D83" s="42">
        <f t="shared" si="2"/>
        <v>3973.9877584403671</v>
      </c>
      <c r="G83" s="199"/>
      <c r="H83" s="216"/>
      <c r="I83" s="224"/>
      <c r="J83" s="218"/>
      <c r="M83" s="215"/>
      <c r="N83" s="216"/>
      <c r="O83" s="224"/>
      <c r="P83" s="218"/>
      <c r="S83" s="18"/>
      <c r="T83" s="19"/>
      <c r="U83" s="225"/>
      <c r="V83" s="218"/>
    </row>
    <row r="84" spans="1:22" x14ac:dyDescent="0.2">
      <c r="A84" s="18" t="s">
        <v>119</v>
      </c>
      <c r="B84" s="19">
        <v>4182</v>
      </c>
      <c r="C84" s="199">
        <v>6.1987951807228914</v>
      </c>
      <c r="D84" s="42">
        <f t="shared" si="2"/>
        <v>8388.3131584337352</v>
      </c>
      <c r="G84" s="199"/>
      <c r="H84" s="216"/>
      <c r="I84" s="224"/>
      <c r="J84" s="218"/>
      <c r="M84" s="215"/>
      <c r="N84" s="216"/>
      <c r="O84" s="224"/>
      <c r="P84" s="218"/>
      <c r="S84" s="18"/>
      <c r="T84" s="19"/>
      <c r="U84" s="225"/>
      <c r="V84" s="218"/>
    </row>
    <row r="85" spans="1:22" x14ac:dyDescent="0.2">
      <c r="A85" s="18" t="s">
        <v>120</v>
      </c>
      <c r="B85" s="221">
        <v>4001</v>
      </c>
      <c r="C85" s="199">
        <v>6.375</v>
      </c>
      <c r="D85" s="42">
        <f t="shared" si="2"/>
        <v>8626.7564624999995</v>
      </c>
      <c r="G85" s="199"/>
      <c r="H85" s="216"/>
      <c r="I85" s="224"/>
      <c r="J85" s="218"/>
      <c r="M85" s="215"/>
      <c r="N85" s="216"/>
      <c r="O85" s="224"/>
      <c r="P85" s="218"/>
      <c r="S85" s="18"/>
      <c r="T85" s="19"/>
      <c r="U85" s="225"/>
      <c r="V85" s="218"/>
    </row>
    <row r="86" spans="1:22" x14ac:dyDescent="0.2">
      <c r="A86" s="18" t="s">
        <v>173</v>
      </c>
      <c r="B86" s="19">
        <v>5406</v>
      </c>
      <c r="C86" s="199">
        <v>4.6961325966850831</v>
      </c>
      <c r="D86" s="42">
        <f t="shared" si="2"/>
        <v>6354.8850552486192</v>
      </c>
      <c r="G86" s="199"/>
      <c r="H86" s="216"/>
      <c r="I86" s="224"/>
      <c r="J86" s="218"/>
      <c r="M86" s="215"/>
      <c r="N86" s="216"/>
      <c r="O86" s="224"/>
      <c r="P86" s="218"/>
      <c r="S86" s="18"/>
      <c r="T86" s="19"/>
      <c r="U86" s="225"/>
      <c r="V86" s="218"/>
    </row>
    <row r="87" spans="1:22" x14ac:dyDescent="0.2">
      <c r="A87" s="18" t="s">
        <v>174</v>
      </c>
      <c r="B87" s="19">
        <v>5407</v>
      </c>
      <c r="C87" s="199">
        <v>5.0456389452332653</v>
      </c>
      <c r="D87" s="42">
        <f t="shared" si="2"/>
        <v>6827.8428828600399</v>
      </c>
      <c r="G87" s="199"/>
      <c r="H87" s="216"/>
      <c r="I87" s="224"/>
      <c r="J87" s="218"/>
      <c r="M87" s="215"/>
      <c r="N87" s="216"/>
      <c r="O87" s="224"/>
      <c r="P87" s="218"/>
      <c r="S87" s="18"/>
      <c r="T87" s="19"/>
      <c r="U87" s="225"/>
      <c r="V87" s="218"/>
    </row>
    <row r="88" spans="1:22" x14ac:dyDescent="0.2">
      <c r="A88" s="18" t="s">
        <v>123</v>
      </c>
      <c r="B88" s="19">
        <v>4607</v>
      </c>
      <c r="C88" s="199">
        <v>3.9021097046413504</v>
      </c>
      <c r="D88" s="42">
        <f t="shared" si="2"/>
        <v>5280.4000175527426</v>
      </c>
      <c r="G88" s="199"/>
      <c r="H88" s="216"/>
      <c r="I88" s="224"/>
      <c r="J88" s="218"/>
      <c r="M88" s="215"/>
      <c r="N88" s="216"/>
      <c r="O88" s="224"/>
      <c r="P88" s="218"/>
      <c r="S88" s="18"/>
      <c r="T88" s="19"/>
      <c r="U88" s="225"/>
      <c r="V88" s="218"/>
    </row>
    <row r="89" spans="1:22" x14ac:dyDescent="0.2">
      <c r="A89" s="18" t="s">
        <v>124</v>
      </c>
      <c r="B89" s="221">
        <v>4002</v>
      </c>
      <c r="C89" s="199">
        <v>4.5180722891566267</v>
      </c>
      <c r="D89" s="42">
        <f t="shared" si="2"/>
        <v>6113.9308734939759</v>
      </c>
      <c r="G89" s="199"/>
      <c r="H89" s="216"/>
      <c r="I89" s="224"/>
      <c r="J89" s="218"/>
      <c r="M89" s="215"/>
      <c r="N89" s="216"/>
      <c r="O89" s="224"/>
      <c r="P89" s="218"/>
      <c r="S89" s="18"/>
      <c r="T89" s="19"/>
      <c r="U89" s="225"/>
      <c r="V89" s="218"/>
    </row>
    <row r="90" spans="1:22" x14ac:dyDescent="0.2">
      <c r="A90" s="18" t="s">
        <v>175</v>
      </c>
      <c r="B90" s="19">
        <v>4177</v>
      </c>
      <c r="C90" s="199">
        <v>6.9630081300813016</v>
      </c>
      <c r="D90" s="42">
        <f t="shared" si="2"/>
        <v>9422.4588838617892</v>
      </c>
      <c r="G90" s="199"/>
      <c r="H90" s="216"/>
      <c r="I90" s="224"/>
      <c r="J90" s="218"/>
      <c r="M90" s="215"/>
      <c r="N90" s="216"/>
      <c r="O90" s="224"/>
      <c r="P90" s="218"/>
      <c r="S90" s="18"/>
      <c r="T90" s="19"/>
      <c r="U90" s="225"/>
      <c r="V90" s="218"/>
    </row>
    <row r="91" spans="1:22" x14ac:dyDescent="0.2">
      <c r="A91" s="18" t="s">
        <v>126</v>
      </c>
      <c r="B91" s="19">
        <v>5412</v>
      </c>
      <c r="C91" s="199">
        <v>3.8572536850271528</v>
      </c>
      <c r="D91" s="42">
        <f t="shared" si="2"/>
        <v>5219.7001027152828</v>
      </c>
      <c r="G91" s="199"/>
      <c r="H91" s="216"/>
      <c r="I91" s="224"/>
      <c r="J91" s="218"/>
      <c r="M91" s="215"/>
      <c r="N91" s="216"/>
      <c r="O91" s="224"/>
      <c r="P91" s="218"/>
      <c r="S91" s="18"/>
      <c r="T91" s="19"/>
      <c r="U91" s="225"/>
      <c r="V91" s="218"/>
    </row>
    <row r="92" spans="1:22" x14ac:dyDescent="0.2">
      <c r="A92" s="18" t="s">
        <v>125</v>
      </c>
      <c r="B92" s="19">
        <v>5414</v>
      </c>
      <c r="C92" s="199">
        <v>1.9710982658959537</v>
      </c>
      <c r="D92" s="42">
        <f t="shared" si="2"/>
        <v>2667.3230907514449</v>
      </c>
      <c r="G92" s="199"/>
      <c r="H92" s="216"/>
      <c r="I92" s="224"/>
      <c r="J92" s="218"/>
      <c r="M92" s="215"/>
      <c r="N92" s="216"/>
      <c r="O92" s="224"/>
      <c r="P92" s="218"/>
      <c r="S92" s="18"/>
      <c r="T92" s="19"/>
      <c r="U92" s="225"/>
      <c r="V92" s="218"/>
    </row>
    <row r="93" spans="1:22" x14ac:dyDescent="0.2">
      <c r="A93" s="18"/>
      <c r="B93" s="19"/>
      <c r="C93" s="183"/>
      <c r="D93" s="38"/>
      <c r="G93" s="183"/>
      <c r="H93" s="216"/>
      <c r="J93" s="211"/>
      <c r="M93" s="215"/>
      <c r="N93" s="216"/>
      <c r="P93" s="211"/>
      <c r="S93" s="18"/>
      <c r="T93" s="19"/>
      <c r="U93" s="183"/>
      <c r="V93" s="211"/>
    </row>
    <row r="94" spans="1:22" x14ac:dyDescent="0.2">
      <c r="A94" s="9" t="s">
        <v>176</v>
      </c>
      <c r="B94" s="9" t="s">
        <v>176</v>
      </c>
      <c r="C94" s="186">
        <f t="shared" ref="C94:D94" si="3">SUM(C80:C92)</f>
        <v>64.032281474966709</v>
      </c>
      <c r="D94" s="40">
        <f t="shared" si="3"/>
        <v>86649.552631025595</v>
      </c>
      <c r="G94" s="186"/>
      <c r="H94" s="212"/>
      <c r="I94" s="226"/>
      <c r="J94" s="218"/>
      <c r="M94" s="212"/>
      <c r="N94" s="212"/>
      <c r="O94" s="226"/>
      <c r="P94" s="218"/>
      <c r="S94" s="9"/>
      <c r="T94" s="9"/>
      <c r="U94" s="227"/>
      <c r="V94" s="222"/>
    </row>
    <row r="95" spans="1:22" x14ac:dyDescent="0.2">
      <c r="A95" s="18"/>
      <c r="B95" s="19"/>
      <c r="C95" s="183"/>
      <c r="D95" s="38"/>
      <c r="G95" s="183"/>
      <c r="H95" s="216"/>
      <c r="J95" s="211"/>
      <c r="M95" s="215"/>
      <c r="N95" s="216"/>
      <c r="P95" s="211"/>
      <c r="S95" s="18"/>
      <c r="T95" s="19"/>
      <c r="U95" s="183"/>
      <c r="V95" s="211"/>
    </row>
    <row r="96" spans="1:22" x14ac:dyDescent="0.2">
      <c r="A96" s="9" t="s">
        <v>177</v>
      </c>
      <c r="B96" s="9" t="s">
        <v>178</v>
      </c>
      <c r="C96" s="186">
        <f t="shared" ref="C96:D96" si="4">C94+C78</f>
        <v>152.17209784514964</v>
      </c>
      <c r="D96" s="40">
        <f t="shared" si="4"/>
        <v>205921.82407809049</v>
      </c>
      <c r="G96" s="186"/>
      <c r="H96" s="212"/>
      <c r="I96" s="226"/>
      <c r="J96" s="218"/>
      <c r="M96" s="212"/>
      <c r="N96" s="212"/>
      <c r="O96" s="226"/>
      <c r="P96" s="218"/>
      <c r="S96" s="9"/>
      <c r="T96" s="9"/>
      <c r="U96" s="227"/>
      <c r="V96" s="222"/>
    </row>
    <row r="99" spans="1:20" x14ac:dyDescent="0.2">
      <c r="A99" s="586" t="s">
        <v>867</v>
      </c>
      <c r="B99" s="646">
        <v>12345</v>
      </c>
      <c r="H99" s="228"/>
      <c r="N99" s="228"/>
      <c r="T99" s="229"/>
    </row>
    <row r="100" spans="1:20" x14ac:dyDescent="0.2">
      <c r="A100" s="20" t="s">
        <v>561</v>
      </c>
      <c r="B100" s="10">
        <v>206189</v>
      </c>
      <c r="C100" s="20"/>
      <c r="D100" s="20"/>
      <c r="E100" s="20"/>
      <c r="H100" s="230"/>
      <c r="N100" s="230"/>
      <c r="T100" s="231"/>
    </row>
    <row r="101" spans="1:20" x14ac:dyDescent="0.2">
      <c r="A101" s="20" t="s">
        <v>564</v>
      </c>
      <c r="B101" s="10" t="s">
        <v>565</v>
      </c>
      <c r="C101" s="20"/>
      <c r="D101" s="20"/>
      <c r="E101" s="20"/>
      <c r="H101" s="230"/>
      <c r="N101" s="230"/>
      <c r="T101" s="231"/>
    </row>
    <row r="102" spans="1:20" x14ac:dyDescent="0.2">
      <c r="A102" s="20" t="s">
        <v>36</v>
      </c>
      <c r="B102" s="10">
        <v>1014</v>
      </c>
      <c r="C102" s="20"/>
      <c r="D102" s="20"/>
      <c r="E102" s="20"/>
    </row>
    <row r="103" spans="1:20" x14ac:dyDescent="0.2">
      <c r="A103" s="20" t="s">
        <v>566</v>
      </c>
      <c r="B103" s="10" t="s">
        <v>568</v>
      </c>
      <c r="C103" s="20"/>
      <c r="D103" s="20"/>
      <c r="E103" s="20"/>
    </row>
    <row r="104" spans="1:20" x14ac:dyDescent="0.2">
      <c r="A104" s="20" t="s">
        <v>575</v>
      </c>
      <c r="B104" s="10" t="s">
        <v>576</v>
      </c>
      <c r="C104" s="20"/>
      <c r="D104" s="20"/>
      <c r="E104" s="20"/>
    </row>
    <row r="105" spans="1:20" x14ac:dyDescent="0.2">
      <c r="A105" s="20" t="s">
        <v>577</v>
      </c>
      <c r="B105" s="10">
        <v>206124</v>
      </c>
      <c r="C105" s="20"/>
      <c r="D105" s="20"/>
      <c r="E105" s="20"/>
    </row>
    <row r="106" spans="1:20" x14ac:dyDescent="0.2">
      <c r="A106" s="20" t="s">
        <v>580</v>
      </c>
      <c r="B106" s="10" t="s">
        <v>582</v>
      </c>
      <c r="C106" s="20"/>
      <c r="D106" s="20"/>
      <c r="E106" s="20"/>
    </row>
    <row r="107" spans="1:20" x14ac:dyDescent="0.2">
      <c r="A107" s="20" t="s">
        <v>583</v>
      </c>
      <c r="B107" s="10">
        <v>206126</v>
      </c>
      <c r="C107" s="20"/>
      <c r="D107" s="20"/>
      <c r="E107" s="20"/>
    </row>
    <row r="108" spans="1:20" x14ac:dyDescent="0.2">
      <c r="A108" s="20" t="s">
        <v>585</v>
      </c>
      <c r="B108" s="10">
        <v>206111</v>
      </c>
      <c r="C108" s="20"/>
      <c r="D108" s="20"/>
      <c r="E108" s="20"/>
    </row>
    <row r="109" spans="1:20" x14ac:dyDescent="0.2">
      <c r="A109" s="20" t="s">
        <v>587</v>
      </c>
      <c r="B109" s="10">
        <v>206091</v>
      </c>
      <c r="C109" s="20"/>
      <c r="D109" s="20"/>
      <c r="E109" s="20"/>
    </row>
    <row r="110" spans="1:20" x14ac:dyDescent="0.2">
      <c r="A110" s="20" t="s">
        <v>37</v>
      </c>
      <c r="B110" s="10">
        <v>1017</v>
      </c>
      <c r="C110" s="20"/>
      <c r="D110" s="20"/>
      <c r="E110" s="20"/>
    </row>
    <row r="111" spans="1:20" x14ac:dyDescent="0.2">
      <c r="A111" s="20" t="s">
        <v>38</v>
      </c>
      <c r="B111" s="10">
        <v>1006</v>
      </c>
      <c r="C111" s="20"/>
      <c r="D111" s="20"/>
      <c r="E111" s="20"/>
    </row>
    <row r="112" spans="1:20" x14ac:dyDescent="0.2">
      <c r="A112" s="20" t="s">
        <v>589</v>
      </c>
      <c r="B112" s="10" t="s">
        <v>590</v>
      </c>
      <c r="C112" s="20"/>
      <c r="D112" s="20"/>
      <c r="E112" s="20"/>
    </row>
    <row r="113" spans="1:5" x14ac:dyDescent="0.2">
      <c r="A113" s="20" t="s">
        <v>591</v>
      </c>
      <c r="B113" s="10">
        <v>206128</v>
      </c>
      <c r="C113" s="20"/>
      <c r="D113" s="20"/>
      <c r="E113" s="20"/>
    </row>
    <row r="114" spans="1:5" x14ac:dyDescent="0.2">
      <c r="A114" s="20" t="s">
        <v>908</v>
      </c>
      <c r="B114" s="10" t="s">
        <v>617</v>
      </c>
      <c r="C114" s="20"/>
      <c r="D114" s="20"/>
      <c r="E114" s="20"/>
    </row>
    <row r="115" spans="1:5" x14ac:dyDescent="0.2">
      <c r="A115" s="20" t="s">
        <v>898</v>
      </c>
      <c r="B115" s="10">
        <v>205921</v>
      </c>
      <c r="C115" s="20"/>
      <c r="D115" s="20"/>
      <c r="E115" s="20"/>
    </row>
    <row r="116" spans="1:5" x14ac:dyDescent="0.2">
      <c r="A116" s="20" t="s">
        <v>897</v>
      </c>
      <c r="B116" s="10">
        <v>205999</v>
      </c>
      <c r="C116" s="20"/>
      <c r="D116" s="20"/>
      <c r="E116" s="20"/>
    </row>
    <row r="117" spans="1:5" x14ac:dyDescent="0.2">
      <c r="A117" s="20" t="s">
        <v>896</v>
      </c>
      <c r="B117" s="10" t="s">
        <v>598</v>
      </c>
      <c r="C117" s="20"/>
      <c r="D117" s="20"/>
      <c r="E117" s="20"/>
    </row>
    <row r="118" spans="1:5" x14ac:dyDescent="0.2">
      <c r="A118" s="20" t="s">
        <v>899</v>
      </c>
      <c r="B118" s="10">
        <v>205922</v>
      </c>
      <c r="C118" s="20"/>
      <c r="D118" s="20"/>
      <c r="E118" s="20"/>
    </row>
    <row r="119" spans="1:5" x14ac:dyDescent="0.2">
      <c r="A119" s="20" t="s">
        <v>900</v>
      </c>
      <c r="B119" s="10" t="s">
        <v>603</v>
      </c>
      <c r="C119" s="20"/>
      <c r="D119" s="20"/>
      <c r="E119" s="20"/>
    </row>
    <row r="120" spans="1:5" x14ac:dyDescent="0.2">
      <c r="A120" s="20" t="s">
        <v>901</v>
      </c>
      <c r="B120" s="10">
        <v>205849</v>
      </c>
      <c r="C120" s="20"/>
      <c r="D120" s="20"/>
      <c r="E120" s="20"/>
    </row>
    <row r="121" spans="1:5" x14ac:dyDescent="0.2">
      <c r="A121" s="20" t="s">
        <v>902</v>
      </c>
      <c r="B121" s="10" t="s">
        <v>606</v>
      </c>
      <c r="C121" s="20"/>
      <c r="D121" s="20"/>
      <c r="E121" s="20"/>
    </row>
    <row r="122" spans="1:5" x14ac:dyDescent="0.2">
      <c r="A122" s="20" t="s">
        <v>903</v>
      </c>
      <c r="B122" s="10">
        <v>2</v>
      </c>
      <c r="C122" s="20"/>
      <c r="D122" s="20"/>
      <c r="E122" s="20"/>
    </row>
    <row r="123" spans="1:5" x14ac:dyDescent="0.2">
      <c r="A123" s="20" t="s">
        <v>904</v>
      </c>
      <c r="B123" s="10">
        <v>205956</v>
      </c>
      <c r="C123" s="20"/>
      <c r="D123" s="20"/>
      <c r="E123" s="20"/>
    </row>
    <row r="124" spans="1:5" x14ac:dyDescent="0.2">
      <c r="A124" s="20" t="s">
        <v>907</v>
      </c>
      <c r="B124" s="10" t="s">
        <v>613</v>
      </c>
      <c r="C124" s="20"/>
      <c r="D124" s="20"/>
      <c r="E124" s="20"/>
    </row>
    <row r="125" spans="1:5" x14ac:dyDescent="0.2">
      <c r="A125" s="20" t="s">
        <v>906</v>
      </c>
      <c r="B125" s="10" t="s">
        <v>615</v>
      </c>
      <c r="C125" s="20"/>
      <c r="D125" s="20"/>
      <c r="E125" s="20"/>
    </row>
    <row r="126" spans="1:5" x14ac:dyDescent="0.2">
      <c r="A126" s="20" t="s">
        <v>905</v>
      </c>
      <c r="B126" s="10" t="s">
        <v>612</v>
      </c>
      <c r="C126" s="20"/>
      <c r="D126" s="20"/>
      <c r="E126" s="20"/>
    </row>
    <row r="127" spans="1:5" x14ac:dyDescent="0.2">
      <c r="A127" s="20" t="s">
        <v>909</v>
      </c>
      <c r="B127" s="10" t="s">
        <v>618</v>
      </c>
      <c r="C127" s="20"/>
      <c r="D127" s="20"/>
      <c r="E127" s="20"/>
    </row>
    <row r="128" spans="1:5" x14ac:dyDescent="0.2">
      <c r="A128" s="20" t="s">
        <v>910</v>
      </c>
      <c r="B128" s="10" t="s">
        <v>619</v>
      </c>
      <c r="C128" s="20"/>
      <c r="D128" s="20"/>
      <c r="E128" s="20"/>
    </row>
    <row r="129" spans="1:5" x14ac:dyDescent="0.2">
      <c r="A129" s="20" t="s">
        <v>911</v>
      </c>
      <c r="B129" s="10" t="s">
        <v>620</v>
      </c>
      <c r="C129" s="20"/>
      <c r="D129" s="20"/>
      <c r="E129" s="20"/>
    </row>
    <row r="130" spans="1:5" x14ac:dyDescent="0.2">
      <c r="A130" s="20" t="s">
        <v>621</v>
      </c>
      <c r="B130" s="10" t="s">
        <v>622</v>
      </c>
      <c r="C130" s="20"/>
      <c r="D130" s="20"/>
      <c r="E130" s="20"/>
    </row>
    <row r="131" spans="1:5" x14ac:dyDescent="0.2">
      <c r="A131" s="20" t="s">
        <v>623</v>
      </c>
      <c r="B131" s="10" t="s">
        <v>625</v>
      </c>
      <c r="C131" s="20"/>
      <c r="D131" s="20"/>
      <c r="E131" s="20"/>
    </row>
    <row r="132" spans="1:5" x14ac:dyDescent="0.2">
      <c r="A132" s="20" t="s">
        <v>628</v>
      </c>
      <c r="B132" s="10" t="s">
        <v>629</v>
      </c>
      <c r="C132" s="20"/>
      <c r="D132" s="20"/>
      <c r="E132" s="20"/>
    </row>
    <row r="133" spans="1:5" x14ac:dyDescent="0.2">
      <c r="A133" s="20" t="s">
        <v>630</v>
      </c>
      <c r="B133" s="10">
        <v>258417</v>
      </c>
      <c r="C133" s="20"/>
      <c r="D133" s="20"/>
      <c r="E133" s="20"/>
    </row>
    <row r="134" spans="1:5" x14ac:dyDescent="0.2">
      <c r="A134" s="20" t="s">
        <v>632</v>
      </c>
      <c r="B134" s="10" t="s">
        <v>634</v>
      </c>
      <c r="C134" s="20"/>
      <c r="D134" s="20"/>
      <c r="E134" s="20"/>
    </row>
    <row r="135" spans="1:5" x14ac:dyDescent="0.2">
      <c r="A135" s="20" t="s">
        <v>635</v>
      </c>
      <c r="B135" s="10" t="s">
        <v>637</v>
      </c>
      <c r="C135" s="20"/>
      <c r="D135" s="20"/>
      <c r="E135" s="20"/>
    </row>
    <row r="136" spans="1:5" x14ac:dyDescent="0.2">
      <c r="A136" s="20" t="s">
        <v>638</v>
      </c>
      <c r="B136" s="10">
        <v>206106</v>
      </c>
      <c r="C136" s="20"/>
      <c r="D136" s="20"/>
      <c r="E136" s="20"/>
    </row>
    <row r="137" spans="1:5" x14ac:dyDescent="0.2">
      <c r="A137" s="20" t="s">
        <v>640</v>
      </c>
      <c r="B137" s="10" t="s">
        <v>641</v>
      </c>
      <c r="C137" s="20"/>
      <c r="D137" s="20"/>
      <c r="E137" s="20"/>
    </row>
    <row r="138" spans="1:5" x14ac:dyDescent="0.2">
      <c r="A138" s="20" t="s">
        <v>39</v>
      </c>
      <c r="B138" s="10">
        <v>1008</v>
      </c>
      <c r="C138" s="20"/>
      <c r="D138" s="20"/>
      <c r="E138" s="20"/>
    </row>
    <row r="139" spans="1:5" x14ac:dyDescent="0.2">
      <c r="A139" s="20" t="s">
        <v>642</v>
      </c>
      <c r="B139" s="10" t="s">
        <v>643</v>
      </c>
      <c r="C139" s="20"/>
      <c r="D139" s="20"/>
      <c r="E139" s="20"/>
    </row>
    <row r="140" spans="1:5" x14ac:dyDescent="0.2">
      <c r="A140" s="20" t="s">
        <v>644</v>
      </c>
      <c r="B140" s="10" t="s">
        <v>645</v>
      </c>
      <c r="C140" s="20"/>
      <c r="D140" s="20"/>
      <c r="E140" s="20"/>
    </row>
    <row r="141" spans="1:5" x14ac:dyDescent="0.2">
      <c r="A141" s="20" t="s">
        <v>646</v>
      </c>
      <c r="B141" s="10">
        <v>206133</v>
      </c>
      <c r="C141" s="20"/>
      <c r="D141" s="20"/>
      <c r="E141" s="20"/>
    </row>
    <row r="142" spans="1:5" x14ac:dyDescent="0.2">
      <c r="A142" s="20" t="s">
        <v>648</v>
      </c>
      <c r="B142" s="10" t="s">
        <v>650</v>
      </c>
      <c r="C142" s="20"/>
      <c r="D142" s="20"/>
      <c r="E142" s="20"/>
    </row>
    <row r="143" spans="1:5" x14ac:dyDescent="0.2">
      <c r="A143" s="20" t="s">
        <v>651</v>
      </c>
      <c r="B143" s="10">
        <v>206134</v>
      </c>
      <c r="C143" s="20"/>
      <c r="D143" s="20"/>
      <c r="E143" s="20"/>
    </row>
    <row r="144" spans="1:5" x14ac:dyDescent="0.2">
      <c r="A144" s="20" t="s">
        <v>655</v>
      </c>
      <c r="B144" s="10" t="s">
        <v>656</v>
      </c>
      <c r="C144" s="20"/>
      <c r="D144" s="20"/>
      <c r="E144" s="20"/>
    </row>
    <row r="145" spans="1:5" x14ac:dyDescent="0.2">
      <c r="A145" s="20" t="s">
        <v>657</v>
      </c>
      <c r="B145" s="10" t="s">
        <v>658</v>
      </c>
      <c r="C145" s="20"/>
      <c r="D145" s="20"/>
      <c r="E145" s="20"/>
    </row>
    <row r="146" spans="1:5" x14ac:dyDescent="0.2">
      <c r="A146" s="20" t="s">
        <v>659</v>
      </c>
      <c r="B146" s="10">
        <v>206109</v>
      </c>
      <c r="C146" s="20"/>
      <c r="D146" s="20"/>
      <c r="E146" s="20"/>
    </row>
    <row r="147" spans="1:5" x14ac:dyDescent="0.2">
      <c r="A147" s="20" t="s">
        <v>661</v>
      </c>
      <c r="B147" s="10">
        <v>206110</v>
      </c>
      <c r="C147" s="20"/>
      <c r="D147" s="20"/>
      <c r="E147" s="20"/>
    </row>
    <row r="148" spans="1:5" x14ac:dyDescent="0.2">
      <c r="A148" s="20" t="s">
        <v>663</v>
      </c>
      <c r="B148" s="10">
        <v>206135</v>
      </c>
      <c r="C148" s="20"/>
      <c r="D148" s="20"/>
      <c r="E148" s="20"/>
    </row>
    <row r="149" spans="1:5" x14ac:dyDescent="0.2">
      <c r="A149" s="20" t="s">
        <v>665</v>
      </c>
      <c r="B149" s="10">
        <v>509195</v>
      </c>
      <c r="C149" s="20"/>
      <c r="D149" s="20"/>
      <c r="E149" s="20"/>
    </row>
    <row r="150" spans="1:5" x14ac:dyDescent="0.2">
      <c r="A150" s="20" t="s">
        <v>667</v>
      </c>
      <c r="B150" s="10" t="s">
        <v>668</v>
      </c>
      <c r="C150" s="20"/>
      <c r="D150" s="20"/>
      <c r="E150" s="20"/>
    </row>
    <row r="151" spans="1:5" x14ac:dyDescent="0.2">
      <c r="A151" s="20" t="s">
        <v>671</v>
      </c>
      <c r="B151" s="10" t="s">
        <v>673</v>
      </c>
      <c r="C151" s="20"/>
      <c r="D151" s="20"/>
      <c r="E151" s="20"/>
    </row>
    <row r="152" spans="1:5" x14ac:dyDescent="0.2">
      <c r="A152" s="20" t="s">
        <v>674</v>
      </c>
      <c r="B152" s="10">
        <v>509199</v>
      </c>
      <c r="C152" s="20"/>
      <c r="D152" s="20"/>
      <c r="E152" s="20"/>
    </row>
    <row r="153" spans="1:5" x14ac:dyDescent="0.2">
      <c r="A153" s="20" t="s">
        <v>676</v>
      </c>
      <c r="B153" s="10">
        <v>509197</v>
      </c>
      <c r="C153" s="20"/>
      <c r="D153" s="20"/>
      <c r="E153" s="20"/>
    </row>
    <row r="154" spans="1:5" x14ac:dyDescent="0.2">
      <c r="A154" s="20" t="s">
        <v>678</v>
      </c>
      <c r="B154" s="10" t="s">
        <v>680</v>
      </c>
      <c r="C154" s="20"/>
      <c r="D154" s="20"/>
      <c r="E154" s="20"/>
    </row>
    <row r="155" spans="1:5" x14ac:dyDescent="0.2">
      <c r="A155" s="20" t="s">
        <v>40</v>
      </c>
      <c r="B155" s="10">
        <v>1005</v>
      </c>
      <c r="C155" s="20"/>
      <c r="D155" s="20"/>
      <c r="E155" s="20"/>
    </row>
    <row r="156" spans="1:5" x14ac:dyDescent="0.2">
      <c r="A156" s="20" t="s">
        <v>683</v>
      </c>
      <c r="B156" s="10">
        <v>206117</v>
      </c>
      <c r="C156" s="20"/>
      <c r="D156" s="20"/>
      <c r="E156" s="20"/>
    </row>
    <row r="157" spans="1:5" x14ac:dyDescent="0.2">
      <c r="A157" s="20" t="s">
        <v>685</v>
      </c>
      <c r="B157" s="10">
        <v>206141</v>
      </c>
      <c r="C157" s="20"/>
      <c r="D157" s="20"/>
      <c r="E157" s="20"/>
    </row>
    <row r="158" spans="1:5" x14ac:dyDescent="0.2">
      <c r="A158" s="20" t="s">
        <v>687</v>
      </c>
      <c r="B158" s="10" t="s">
        <v>689</v>
      </c>
      <c r="C158" s="20"/>
      <c r="D158" s="20"/>
      <c r="E158" s="20"/>
    </row>
    <row r="159" spans="1:5" x14ac:dyDescent="0.2">
      <c r="A159" s="20" t="s">
        <v>690</v>
      </c>
      <c r="B159" s="10">
        <v>258404</v>
      </c>
      <c r="C159" s="20"/>
      <c r="D159" s="20"/>
      <c r="E159" s="20"/>
    </row>
    <row r="160" spans="1:5" x14ac:dyDescent="0.2">
      <c r="A160" s="20" t="s">
        <v>692</v>
      </c>
      <c r="B160" s="10">
        <v>258405</v>
      </c>
      <c r="C160" s="20"/>
      <c r="D160" s="20"/>
      <c r="E160" s="20"/>
    </row>
    <row r="161" spans="1:5" x14ac:dyDescent="0.2">
      <c r="A161" s="20" t="s">
        <v>694</v>
      </c>
      <c r="B161" s="10">
        <v>258406</v>
      </c>
      <c r="C161" s="20"/>
      <c r="D161" s="20"/>
      <c r="E161" s="20"/>
    </row>
    <row r="162" spans="1:5" x14ac:dyDescent="0.2">
      <c r="A162" s="20" t="s">
        <v>696</v>
      </c>
      <c r="B162" s="10">
        <v>206160</v>
      </c>
      <c r="C162" s="20"/>
      <c r="D162" s="20"/>
      <c r="E162" s="20"/>
    </row>
    <row r="163" spans="1:5" x14ac:dyDescent="0.2">
      <c r="A163" s="20" t="s">
        <v>698</v>
      </c>
      <c r="B163" s="10" t="s">
        <v>700</v>
      </c>
      <c r="C163" s="20"/>
      <c r="D163" s="20"/>
      <c r="E163" s="20"/>
    </row>
    <row r="164" spans="1:5" x14ac:dyDescent="0.2">
      <c r="A164" s="20" t="s">
        <v>701</v>
      </c>
      <c r="B164" s="10" t="s">
        <v>702</v>
      </c>
      <c r="C164" s="20"/>
      <c r="D164" s="20"/>
      <c r="E164" s="20"/>
    </row>
    <row r="165" spans="1:5" x14ac:dyDescent="0.2">
      <c r="A165" s="20" t="s">
        <v>703</v>
      </c>
      <c r="B165" s="10" t="s">
        <v>705</v>
      </c>
      <c r="C165" s="20"/>
      <c r="D165" s="20"/>
      <c r="E165" s="20"/>
    </row>
    <row r="166" spans="1:5" x14ac:dyDescent="0.2">
      <c r="A166" s="20" t="s">
        <v>706</v>
      </c>
      <c r="B166" s="10">
        <v>206146</v>
      </c>
      <c r="C166" s="20"/>
      <c r="D166" s="20"/>
      <c r="E166" s="20"/>
    </row>
    <row r="167" spans="1:5" x14ac:dyDescent="0.2">
      <c r="A167" s="20" t="s">
        <v>708</v>
      </c>
      <c r="B167" s="10" t="s">
        <v>709</v>
      </c>
      <c r="C167" s="20"/>
      <c r="D167" s="20"/>
      <c r="E167" s="20"/>
    </row>
    <row r="168" spans="1:5" x14ac:dyDescent="0.2">
      <c r="A168" s="20" t="s">
        <v>715</v>
      </c>
      <c r="B168" s="10" t="s">
        <v>716</v>
      </c>
      <c r="C168" s="20"/>
      <c r="D168" s="20"/>
      <c r="E168" s="20"/>
    </row>
    <row r="169" spans="1:5" x14ac:dyDescent="0.2">
      <c r="A169" s="20" t="s">
        <v>717</v>
      </c>
      <c r="B169" s="10" t="s">
        <v>719</v>
      </c>
      <c r="C169" s="20"/>
      <c r="D169" s="20"/>
      <c r="E169" s="20"/>
    </row>
    <row r="170" spans="1:5" x14ac:dyDescent="0.2">
      <c r="A170" s="20" t="s">
        <v>720</v>
      </c>
      <c r="B170" s="10" t="s">
        <v>721</v>
      </c>
      <c r="C170" s="20"/>
      <c r="D170" s="20"/>
      <c r="E170" s="20"/>
    </row>
    <row r="171" spans="1:5" x14ac:dyDescent="0.2">
      <c r="A171" s="20" t="s">
        <v>722</v>
      </c>
      <c r="B171" s="10">
        <v>113044</v>
      </c>
      <c r="C171" s="20"/>
      <c r="D171" s="20"/>
      <c r="E171" s="20"/>
    </row>
    <row r="172" spans="1:5" x14ac:dyDescent="0.2">
      <c r="A172" s="20" t="s">
        <v>724</v>
      </c>
      <c r="B172" s="10" t="s">
        <v>726</v>
      </c>
      <c r="C172" s="20"/>
      <c r="D172" s="20"/>
      <c r="E172" s="20"/>
    </row>
    <row r="173" spans="1:5" x14ac:dyDescent="0.2">
      <c r="A173" s="20" t="s">
        <v>727</v>
      </c>
      <c r="B173" s="10" t="s">
        <v>729</v>
      </c>
      <c r="C173" s="20"/>
      <c r="D173" s="20"/>
      <c r="E173" s="20"/>
    </row>
    <row r="174" spans="1:5" x14ac:dyDescent="0.2">
      <c r="A174" s="20" t="s">
        <v>730</v>
      </c>
      <c r="B174" s="10" t="s">
        <v>732</v>
      </c>
      <c r="C174" s="20"/>
      <c r="D174" s="20"/>
      <c r="E174" s="20"/>
    </row>
    <row r="175" spans="1:5" x14ac:dyDescent="0.2">
      <c r="A175" s="20" t="s">
        <v>733</v>
      </c>
      <c r="B175" s="10" t="s">
        <v>735</v>
      </c>
      <c r="C175" s="20"/>
      <c r="D175" s="20"/>
      <c r="E175" s="20"/>
    </row>
    <row r="176" spans="1:5" x14ac:dyDescent="0.2">
      <c r="A176" s="20" t="s">
        <v>736</v>
      </c>
      <c r="B176" s="10" t="s">
        <v>737</v>
      </c>
      <c r="C176" s="20"/>
      <c r="D176" s="20"/>
      <c r="E176" s="20"/>
    </row>
    <row r="177" spans="1:5" x14ac:dyDescent="0.2">
      <c r="A177" s="20" t="s">
        <v>738</v>
      </c>
      <c r="B177" s="10">
        <v>206152</v>
      </c>
      <c r="C177" s="20"/>
      <c r="D177" s="20"/>
      <c r="E177" s="20"/>
    </row>
    <row r="178" spans="1:5" x14ac:dyDescent="0.2">
      <c r="A178" s="20" t="s">
        <v>103</v>
      </c>
      <c r="B178" s="10">
        <v>3158</v>
      </c>
      <c r="C178" s="20"/>
      <c r="D178" s="20"/>
      <c r="E178" s="20"/>
    </row>
    <row r="179" spans="1:5" x14ac:dyDescent="0.2">
      <c r="A179" s="20" t="s">
        <v>740</v>
      </c>
      <c r="B179" s="10">
        <v>206153</v>
      </c>
      <c r="C179" s="20"/>
      <c r="D179" s="20"/>
      <c r="E179" s="20"/>
    </row>
    <row r="180" spans="1:5" x14ac:dyDescent="0.2">
      <c r="A180" s="20" t="s">
        <v>742</v>
      </c>
      <c r="B180" s="10">
        <v>206154</v>
      </c>
      <c r="C180" s="20"/>
      <c r="D180" s="20"/>
      <c r="E180" s="20"/>
    </row>
    <row r="181" spans="1:5" x14ac:dyDescent="0.2">
      <c r="A181" s="20" t="s">
        <v>744</v>
      </c>
      <c r="B181" s="10" t="s">
        <v>745</v>
      </c>
      <c r="C181" s="20"/>
      <c r="D181" s="20"/>
      <c r="E181" s="20"/>
    </row>
    <row r="182" spans="1:5" x14ac:dyDescent="0.2">
      <c r="A182" s="20" t="s">
        <v>41</v>
      </c>
      <c r="B182" s="10">
        <v>1010</v>
      </c>
      <c r="C182" s="20"/>
      <c r="D182" s="20"/>
      <c r="E182" s="20"/>
    </row>
    <row r="183" spans="1:5" x14ac:dyDescent="0.2">
      <c r="A183" s="20" t="s">
        <v>746</v>
      </c>
      <c r="B183" s="10" t="s">
        <v>748</v>
      </c>
      <c r="C183" s="20"/>
      <c r="D183" s="20"/>
      <c r="E183" s="20"/>
    </row>
    <row r="184" spans="1:5" x14ac:dyDescent="0.2">
      <c r="A184" s="20" t="s">
        <v>749</v>
      </c>
      <c r="B184" s="10" t="s">
        <v>751</v>
      </c>
      <c r="C184" s="20"/>
      <c r="D184" s="20"/>
      <c r="E184" s="20"/>
    </row>
    <row r="185" spans="1:5" x14ac:dyDescent="0.2">
      <c r="A185" s="20" t="s">
        <v>752</v>
      </c>
      <c r="B185" s="10">
        <v>206103</v>
      </c>
      <c r="C185" s="20"/>
      <c r="D185" s="20"/>
      <c r="E185" s="20"/>
    </row>
    <row r="186" spans="1:5" x14ac:dyDescent="0.2">
      <c r="A186" s="20" t="s">
        <v>753</v>
      </c>
      <c r="B186" s="10" t="s">
        <v>755</v>
      </c>
      <c r="C186" s="20"/>
      <c r="D186" s="20"/>
      <c r="E186" s="20"/>
    </row>
    <row r="187" spans="1:5" x14ac:dyDescent="0.2">
      <c r="A187" s="20" t="s">
        <v>756</v>
      </c>
      <c r="B187" s="10" t="s">
        <v>758</v>
      </c>
      <c r="C187" s="20"/>
      <c r="D187" s="20"/>
      <c r="E187" s="20"/>
    </row>
    <row r="188" spans="1:5" x14ac:dyDescent="0.2">
      <c r="A188" s="20" t="s">
        <v>759</v>
      </c>
      <c r="B188" s="10">
        <v>258420</v>
      </c>
      <c r="C188" s="20"/>
      <c r="D188" s="20"/>
      <c r="E188" s="20"/>
    </row>
    <row r="189" spans="1:5" x14ac:dyDescent="0.2">
      <c r="A189" s="20" t="s">
        <v>761</v>
      </c>
      <c r="B189" s="10">
        <v>258424</v>
      </c>
      <c r="C189" s="20"/>
      <c r="D189" s="20"/>
      <c r="E189" s="20"/>
    </row>
    <row r="190" spans="1:5" x14ac:dyDescent="0.2">
      <c r="A190" s="20" t="s">
        <v>42</v>
      </c>
      <c r="B190" s="10">
        <v>1009</v>
      </c>
      <c r="C190" s="20"/>
      <c r="D190" s="20"/>
      <c r="E190" s="20"/>
    </row>
    <row r="191" spans="1:5" x14ac:dyDescent="0.2">
      <c r="A191" s="20" t="s">
        <v>770</v>
      </c>
      <c r="B191" s="10" t="s">
        <v>771</v>
      </c>
      <c r="C191" s="20"/>
      <c r="D191" s="20"/>
      <c r="E191" s="20"/>
    </row>
    <row r="192" spans="1:5" x14ac:dyDescent="0.2">
      <c r="A192" s="20" t="s">
        <v>765</v>
      </c>
      <c r="B192" s="10" t="s">
        <v>767</v>
      </c>
      <c r="C192" s="20"/>
      <c r="D192" s="20"/>
      <c r="E192" s="20"/>
    </row>
    <row r="193" spans="1:5" x14ac:dyDescent="0.2">
      <c r="A193" s="20" t="s">
        <v>43</v>
      </c>
      <c r="B193" s="10">
        <v>1015</v>
      </c>
      <c r="C193" s="20"/>
      <c r="D193" s="20"/>
      <c r="E193" s="20"/>
    </row>
    <row r="194" spans="1:5" x14ac:dyDescent="0.2">
      <c r="A194" s="20" t="s">
        <v>768</v>
      </c>
      <c r="B194" s="10" t="s">
        <v>769</v>
      </c>
      <c r="C194" s="20"/>
      <c r="D194" s="20"/>
      <c r="E194" s="20"/>
    </row>
    <row r="195" spans="1:5" x14ac:dyDescent="0.2">
      <c r="A195" s="20" t="s">
        <v>772</v>
      </c>
      <c r="B195" s="10">
        <v>509204</v>
      </c>
      <c r="C195" s="20"/>
      <c r="D195" s="20"/>
      <c r="E195" s="20"/>
    </row>
    <row r="196" spans="1:5" x14ac:dyDescent="0.2">
      <c r="A196" s="491" t="s">
        <v>569</v>
      </c>
      <c r="B196" s="492" t="s">
        <v>570</v>
      </c>
      <c r="C196" s="623"/>
      <c r="D196" s="603"/>
    </row>
    <row r="197" spans="1:5" x14ac:dyDescent="0.2">
      <c r="A197" s="493" t="s">
        <v>571</v>
      </c>
      <c r="B197" s="494" t="s">
        <v>572</v>
      </c>
      <c r="C197" s="623"/>
      <c r="D197" s="603"/>
    </row>
    <row r="198" spans="1:5" ht="15" x14ac:dyDescent="0.25">
      <c r="A198" s="493" t="s">
        <v>573</v>
      </c>
      <c r="B198" s="495" t="s">
        <v>574</v>
      </c>
      <c r="C198" s="623"/>
      <c r="D198" s="603"/>
    </row>
    <row r="199" spans="1:5" x14ac:dyDescent="0.2">
      <c r="A199" s="499" t="s">
        <v>593</v>
      </c>
      <c r="B199" s="500" t="s">
        <v>594</v>
      </c>
      <c r="C199" s="623"/>
      <c r="D199" s="586"/>
    </row>
    <row r="200" spans="1:5" x14ac:dyDescent="0.2">
      <c r="A200" s="499" t="s">
        <v>595</v>
      </c>
      <c r="B200" s="500" t="s">
        <v>596</v>
      </c>
      <c r="C200" s="623"/>
      <c r="D200" s="603"/>
    </row>
    <row r="201" spans="1:5" x14ac:dyDescent="0.2">
      <c r="A201" s="332" t="s">
        <v>1026</v>
      </c>
      <c r="B201" s="324" t="s">
        <v>599</v>
      </c>
      <c r="C201" s="623"/>
      <c r="D201" s="586"/>
    </row>
    <row r="202" spans="1:5" x14ac:dyDescent="0.2">
      <c r="A202" s="332" t="s">
        <v>1027</v>
      </c>
      <c r="B202" s="324" t="s">
        <v>600</v>
      </c>
      <c r="C202" s="623"/>
      <c r="D202" s="586"/>
    </row>
    <row r="203" spans="1:5" x14ac:dyDescent="0.2">
      <c r="A203" s="332" t="s">
        <v>1014</v>
      </c>
      <c r="B203" s="324" t="s">
        <v>601</v>
      </c>
      <c r="C203" s="623"/>
      <c r="D203" s="586"/>
    </row>
    <row r="204" spans="1:5" x14ac:dyDescent="0.2">
      <c r="A204" s="332" t="s">
        <v>1015</v>
      </c>
      <c r="B204" s="324" t="s">
        <v>602</v>
      </c>
      <c r="C204" s="623"/>
      <c r="D204" s="586"/>
    </row>
    <row r="205" spans="1:5" x14ac:dyDescent="0.2">
      <c r="A205" s="332" t="s">
        <v>1016</v>
      </c>
      <c r="B205" s="324" t="s">
        <v>604</v>
      </c>
      <c r="C205" s="623"/>
      <c r="D205" s="586"/>
    </row>
    <row r="206" spans="1:5" x14ac:dyDescent="0.2">
      <c r="A206" s="332" t="s">
        <v>1017</v>
      </c>
      <c r="B206" s="324" t="s">
        <v>605</v>
      </c>
      <c r="C206" s="623"/>
      <c r="D206" s="586"/>
    </row>
    <row r="207" spans="1:5" x14ac:dyDescent="0.2">
      <c r="A207" s="514" t="s">
        <v>1018</v>
      </c>
      <c r="B207" s="509" t="s">
        <v>607</v>
      </c>
      <c r="C207" s="623"/>
      <c r="D207" s="586"/>
    </row>
    <row r="208" spans="1:5" x14ac:dyDescent="0.2">
      <c r="A208" s="502" t="s">
        <v>1019</v>
      </c>
      <c r="B208" s="494" t="s">
        <v>608</v>
      </c>
      <c r="C208" s="623"/>
      <c r="D208" s="586"/>
    </row>
    <row r="209" spans="1:4" x14ac:dyDescent="0.2">
      <c r="A209" s="517" t="s">
        <v>1020</v>
      </c>
      <c r="B209" s="518" t="s">
        <v>609</v>
      </c>
      <c r="C209" s="623"/>
      <c r="D209" s="586"/>
    </row>
    <row r="210" spans="1:4" x14ac:dyDescent="0.2">
      <c r="A210" s="510" t="s">
        <v>1021</v>
      </c>
      <c r="B210" s="494" t="s">
        <v>610</v>
      </c>
      <c r="C210" s="623"/>
      <c r="D210" s="586"/>
    </row>
    <row r="211" spans="1:4" x14ac:dyDescent="0.2">
      <c r="A211" s="515" t="s">
        <v>1022</v>
      </c>
      <c r="B211" s="503" t="s">
        <v>611</v>
      </c>
      <c r="C211" s="623"/>
      <c r="D211" s="586"/>
    </row>
    <row r="212" spans="1:4" x14ac:dyDescent="0.2">
      <c r="A212" s="505" t="s">
        <v>905</v>
      </c>
      <c r="B212" s="503" t="s">
        <v>612</v>
      </c>
      <c r="C212" s="623"/>
      <c r="D212" s="586"/>
    </row>
    <row r="213" spans="1:4" x14ac:dyDescent="0.2">
      <c r="A213" s="510" t="s">
        <v>1023</v>
      </c>
      <c r="B213" s="516" t="s">
        <v>614</v>
      </c>
      <c r="C213" s="623"/>
      <c r="D213" s="586"/>
    </row>
    <row r="214" spans="1:4" x14ac:dyDescent="0.2">
      <c r="A214" s="515" t="s">
        <v>1024</v>
      </c>
      <c r="B214" s="503">
        <v>206043</v>
      </c>
      <c r="C214" s="623"/>
      <c r="D214" s="586"/>
    </row>
    <row r="215" spans="1:4" x14ac:dyDescent="0.2">
      <c r="A215" s="512" t="s">
        <v>1025</v>
      </c>
      <c r="B215" s="519" t="s">
        <v>616</v>
      </c>
      <c r="C215" s="623"/>
      <c r="D215" s="586"/>
    </row>
    <row r="216" spans="1:4" x14ac:dyDescent="0.2">
      <c r="A216" s="530" t="s">
        <v>669</v>
      </c>
      <c r="B216" s="531" t="s">
        <v>670</v>
      </c>
      <c r="C216" s="623"/>
      <c r="D216" s="603"/>
    </row>
    <row r="217" spans="1:4" x14ac:dyDescent="0.2">
      <c r="A217" s="499" t="s">
        <v>681</v>
      </c>
      <c r="B217" s="500" t="s">
        <v>682</v>
      </c>
      <c r="C217" s="623"/>
      <c r="D217" s="586"/>
    </row>
    <row r="218" spans="1:4" x14ac:dyDescent="0.2">
      <c r="A218" s="528" t="s">
        <v>653</v>
      </c>
      <c r="B218" s="529" t="s">
        <v>654</v>
      </c>
    </row>
    <row r="219" spans="1:4" x14ac:dyDescent="0.2">
      <c r="A219" s="18" t="s">
        <v>63</v>
      </c>
      <c r="B219" s="604">
        <v>2448</v>
      </c>
    </row>
    <row r="220" spans="1:4" x14ac:dyDescent="0.2">
      <c r="A220" s="583" t="s">
        <v>1033</v>
      </c>
      <c r="B220" s="837">
        <v>4000</v>
      </c>
    </row>
  </sheetData>
  <sheetProtection password="EF5C" sheet="1" objects="1" scenarios="1" selectLockedCells="1" selectUnlockedCells="1"/>
  <mergeCells count="5">
    <mergeCell ref="T1:T5"/>
    <mergeCell ref="N1:N5"/>
    <mergeCell ref="B1:B5"/>
    <mergeCell ref="H1:H5"/>
    <mergeCell ref="E5:F5"/>
  </mergeCells>
  <pageMargins left="0.7" right="0.7" top="0.75" bottom="0.75" header="0.3" footer="0.3"/>
  <pageSetup paperSize="9" scale="5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3"/>
  <sheetViews>
    <sheetView zoomScale="80" zoomScaleNormal="80" workbookViewId="0">
      <pane xSplit="2" ySplit="6" topLeftCell="C7" activePane="bottomRight" state="frozen"/>
      <selection activeCell="B61" sqref="B61"/>
      <selection pane="topRight" activeCell="B61" sqref="B61"/>
      <selection pane="bottomLeft" activeCell="B61" sqref="B61"/>
      <selection pane="bottomRight" sqref="A1:XFD1048576"/>
    </sheetView>
  </sheetViews>
  <sheetFormatPr defaultRowHeight="12.75" x14ac:dyDescent="0.2"/>
  <cols>
    <col min="1" max="1" width="52.42578125" bestFit="1" customWidth="1"/>
    <col min="2" max="2" width="17.140625" bestFit="1" customWidth="1"/>
    <col min="3" max="3" width="13.28515625" customWidth="1"/>
    <col min="4" max="4" width="12.42578125" customWidth="1"/>
  </cols>
  <sheetData>
    <row r="1" spans="1:4" ht="12.75" customHeight="1" x14ac:dyDescent="0.2">
      <c r="A1" s="9" t="s">
        <v>137</v>
      </c>
      <c r="B1" s="1250" t="s">
        <v>261</v>
      </c>
      <c r="C1" s="32"/>
      <c r="D1" s="32"/>
    </row>
    <row r="2" spans="1:4" x14ac:dyDescent="0.2">
      <c r="A2" s="9" t="s">
        <v>138</v>
      </c>
      <c r="B2" s="1250"/>
      <c r="C2" s="32"/>
      <c r="D2" s="32">
        <f>927.15-67.99</f>
        <v>859.16</v>
      </c>
    </row>
    <row r="3" spans="1:4" x14ac:dyDescent="0.2">
      <c r="A3" s="9" t="s">
        <v>139</v>
      </c>
      <c r="B3" s="1250"/>
      <c r="C3" s="32"/>
      <c r="D3" s="32"/>
    </row>
    <row r="4" spans="1:4" x14ac:dyDescent="0.2">
      <c r="A4" s="9" t="s">
        <v>140</v>
      </c>
      <c r="B4" s="1250"/>
      <c r="C4" s="32"/>
      <c r="D4" s="32"/>
    </row>
    <row r="5" spans="1:4" x14ac:dyDescent="0.2">
      <c r="A5" s="9" t="s">
        <v>141</v>
      </c>
      <c r="B5" s="1250"/>
      <c r="C5" s="32"/>
      <c r="D5" s="32"/>
    </row>
    <row r="6" spans="1:4" ht="111.75" customHeight="1" x14ac:dyDescent="0.2">
      <c r="A6" s="25" t="s">
        <v>180</v>
      </c>
      <c r="B6" s="15" t="s">
        <v>142</v>
      </c>
      <c r="C6" s="41" t="s">
        <v>257</v>
      </c>
      <c r="D6" s="41" t="s">
        <v>196</v>
      </c>
    </row>
    <row r="7" spans="1:4" x14ac:dyDescent="0.2">
      <c r="A7" s="18" t="s">
        <v>44</v>
      </c>
      <c r="B7" s="19">
        <v>2400</v>
      </c>
      <c r="C7" s="38"/>
      <c r="D7" s="44">
        <f>D$2*C7</f>
        <v>0</v>
      </c>
    </row>
    <row r="8" spans="1:4" x14ac:dyDescent="0.2">
      <c r="A8" s="18" t="s">
        <v>45</v>
      </c>
      <c r="B8" s="19">
        <v>2443</v>
      </c>
      <c r="C8" s="38"/>
      <c r="D8" s="44">
        <f t="shared" ref="D8:D70" si="0">D$2*C8</f>
        <v>0</v>
      </c>
    </row>
    <row r="9" spans="1:4" x14ac:dyDescent="0.2">
      <c r="A9" s="18" t="s">
        <v>155</v>
      </c>
      <c r="B9" s="19">
        <v>2442</v>
      </c>
      <c r="C9" s="38"/>
      <c r="D9" s="44">
        <f t="shared" si="0"/>
        <v>0</v>
      </c>
    </row>
    <row r="10" spans="1:4" x14ac:dyDescent="0.2">
      <c r="A10" s="18" t="s">
        <v>47</v>
      </c>
      <c r="B10" s="19">
        <v>2629</v>
      </c>
      <c r="C10" s="38"/>
      <c r="D10" s="44">
        <f t="shared" si="0"/>
        <v>0</v>
      </c>
    </row>
    <row r="11" spans="1:4" x14ac:dyDescent="0.2">
      <c r="A11" s="18" t="s">
        <v>48</v>
      </c>
      <c r="B11" s="19">
        <v>2509</v>
      </c>
      <c r="C11" s="38"/>
      <c r="D11" s="44">
        <f t="shared" si="0"/>
        <v>0</v>
      </c>
    </row>
    <row r="12" spans="1:4" x14ac:dyDescent="0.2">
      <c r="A12" s="18" t="s">
        <v>49</v>
      </c>
      <c r="B12" s="19">
        <v>2005</v>
      </c>
      <c r="C12" s="38"/>
      <c r="D12" s="44">
        <f t="shared" si="0"/>
        <v>0</v>
      </c>
    </row>
    <row r="13" spans="1:4" x14ac:dyDescent="0.2">
      <c r="A13" s="18" t="s">
        <v>50</v>
      </c>
      <c r="B13" s="19">
        <v>2464</v>
      </c>
      <c r="C13" s="38"/>
      <c r="D13" s="44">
        <f t="shared" si="0"/>
        <v>0</v>
      </c>
    </row>
    <row r="14" spans="1:4" x14ac:dyDescent="0.2">
      <c r="A14" s="18" t="s">
        <v>51</v>
      </c>
      <c r="B14" s="19">
        <v>2004</v>
      </c>
      <c r="C14" s="38"/>
      <c r="D14" s="44">
        <f t="shared" si="0"/>
        <v>0</v>
      </c>
    </row>
    <row r="15" spans="1:4" x14ac:dyDescent="0.2">
      <c r="A15" s="18" t="s">
        <v>52</v>
      </c>
      <c r="B15" s="19">
        <v>2405</v>
      </c>
      <c r="C15" s="38"/>
      <c r="D15" s="44">
        <f t="shared" si="0"/>
        <v>0</v>
      </c>
    </row>
    <row r="16" spans="1:4" x14ac:dyDescent="0.2">
      <c r="A16" s="18" t="s">
        <v>156</v>
      </c>
      <c r="B16" s="19">
        <v>3525</v>
      </c>
      <c r="C16" s="38"/>
      <c r="D16" s="44">
        <f t="shared" si="0"/>
        <v>0</v>
      </c>
    </row>
    <row r="17" spans="1:4" x14ac:dyDescent="0.2">
      <c r="A17" s="18" t="s">
        <v>54</v>
      </c>
      <c r="B17" s="19">
        <v>5201</v>
      </c>
      <c r="C17" s="38"/>
      <c r="D17" s="44">
        <f t="shared" si="0"/>
        <v>0</v>
      </c>
    </row>
    <row r="18" spans="1:4" x14ac:dyDescent="0.2">
      <c r="A18" s="18" t="s">
        <v>157</v>
      </c>
      <c r="B18" s="19">
        <v>2007</v>
      </c>
      <c r="C18" s="38"/>
      <c r="D18" s="44">
        <f t="shared" si="0"/>
        <v>0</v>
      </c>
    </row>
    <row r="19" spans="1:4" x14ac:dyDescent="0.2">
      <c r="A19" s="18" t="s">
        <v>56</v>
      </c>
      <c r="B19" s="19">
        <v>2433</v>
      </c>
      <c r="C19" s="38"/>
      <c r="D19" s="44">
        <f t="shared" si="0"/>
        <v>0</v>
      </c>
    </row>
    <row r="20" spans="1:4" x14ac:dyDescent="0.2">
      <c r="A20" s="18" t="s">
        <v>57</v>
      </c>
      <c r="B20" s="19">
        <v>2432</v>
      </c>
      <c r="C20" s="38"/>
      <c r="D20" s="44">
        <f t="shared" si="0"/>
        <v>0</v>
      </c>
    </row>
    <row r="21" spans="1:4" x14ac:dyDescent="0.2">
      <c r="A21" s="18" t="s">
        <v>59</v>
      </c>
      <c r="B21" s="19">
        <v>2447</v>
      </c>
      <c r="C21" s="38"/>
      <c r="D21" s="44">
        <f t="shared" si="0"/>
        <v>0</v>
      </c>
    </row>
    <row r="22" spans="1:4" x14ac:dyDescent="0.2">
      <c r="A22" s="18" t="s">
        <v>60</v>
      </c>
      <c r="B22" s="19">
        <v>2512</v>
      </c>
      <c r="C22" s="38"/>
      <c r="D22" s="44">
        <f t="shared" si="0"/>
        <v>0</v>
      </c>
    </row>
    <row r="23" spans="1:4" x14ac:dyDescent="0.2">
      <c r="A23" s="18" t="s">
        <v>61</v>
      </c>
      <c r="B23" s="19">
        <v>2456</v>
      </c>
      <c r="C23" s="38"/>
      <c r="D23" s="44">
        <f t="shared" si="0"/>
        <v>0</v>
      </c>
    </row>
    <row r="24" spans="1:4" x14ac:dyDescent="0.2">
      <c r="A24" s="18" t="s">
        <v>62</v>
      </c>
      <c r="B24" s="19">
        <v>2449</v>
      </c>
      <c r="C24" s="38"/>
      <c r="D24" s="44">
        <f t="shared" si="0"/>
        <v>0</v>
      </c>
    </row>
    <row r="25" spans="1:4" x14ac:dyDescent="0.2">
      <c r="A25" s="18" t="s">
        <v>63</v>
      </c>
      <c r="B25" s="19">
        <v>2448</v>
      </c>
      <c r="C25" s="38"/>
      <c r="D25" s="44">
        <f t="shared" si="0"/>
        <v>0</v>
      </c>
    </row>
    <row r="26" spans="1:4" x14ac:dyDescent="0.2">
      <c r="A26" s="18" t="s">
        <v>193</v>
      </c>
      <c r="B26" s="19">
        <v>2467</v>
      </c>
      <c r="C26" s="38"/>
      <c r="D26" s="44">
        <f t="shared" si="0"/>
        <v>0</v>
      </c>
    </row>
    <row r="27" spans="1:4" x14ac:dyDescent="0.2">
      <c r="A27" s="18" t="s">
        <v>65</v>
      </c>
      <c r="B27" s="19">
        <v>2455</v>
      </c>
      <c r="C27" s="38"/>
      <c r="D27" s="44">
        <f t="shared" si="0"/>
        <v>0</v>
      </c>
    </row>
    <row r="28" spans="1:4" x14ac:dyDescent="0.2">
      <c r="A28" s="18" t="s">
        <v>66</v>
      </c>
      <c r="B28" s="19">
        <v>5203</v>
      </c>
      <c r="C28" s="38"/>
      <c r="D28" s="44">
        <f t="shared" si="0"/>
        <v>0</v>
      </c>
    </row>
    <row r="29" spans="1:4" x14ac:dyDescent="0.2">
      <c r="A29" s="18" t="s">
        <v>67</v>
      </c>
      <c r="B29" s="19">
        <v>2451</v>
      </c>
      <c r="C29" s="38"/>
      <c r="D29" s="44">
        <f t="shared" si="0"/>
        <v>0</v>
      </c>
    </row>
    <row r="30" spans="1:4" x14ac:dyDescent="0.2">
      <c r="A30" s="18" t="s">
        <v>68</v>
      </c>
      <c r="B30" s="19">
        <v>2409</v>
      </c>
      <c r="C30" s="38"/>
      <c r="D30" s="44">
        <f t="shared" si="0"/>
        <v>0</v>
      </c>
    </row>
    <row r="31" spans="1:4" x14ac:dyDescent="0.2">
      <c r="A31" s="18" t="s">
        <v>159</v>
      </c>
      <c r="B31" s="19">
        <v>3158</v>
      </c>
      <c r="C31" s="38"/>
      <c r="D31" s="44">
        <f t="shared" si="0"/>
        <v>0</v>
      </c>
    </row>
    <row r="32" spans="1:4" x14ac:dyDescent="0.2">
      <c r="A32" s="18" t="s">
        <v>69</v>
      </c>
      <c r="B32" s="19">
        <v>2619</v>
      </c>
      <c r="C32" s="38"/>
      <c r="D32" s="44">
        <f t="shared" si="0"/>
        <v>0</v>
      </c>
    </row>
    <row r="33" spans="1:4" x14ac:dyDescent="0.2">
      <c r="A33" s="18" t="s">
        <v>70</v>
      </c>
      <c r="B33" s="19">
        <v>2518</v>
      </c>
      <c r="C33" s="38"/>
      <c r="D33" s="44">
        <f t="shared" si="0"/>
        <v>0</v>
      </c>
    </row>
    <row r="34" spans="1:4" x14ac:dyDescent="0.2">
      <c r="A34" s="18" t="s">
        <v>71</v>
      </c>
      <c r="B34" s="19">
        <v>2457</v>
      </c>
      <c r="C34" s="38"/>
      <c r="D34" s="44">
        <f t="shared" si="0"/>
        <v>0</v>
      </c>
    </row>
    <row r="35" spans="1:4" x14ac:dyDescent="0.2">
      <c r="A35" s="18" t="s">
        <v>160</v>
      </c>
      <c r="B35" s="220">
        <v>2010</v>
      </c>
      <c r="C35" s="38"/>
      <c r="D35" s="44">
        <f t="shared" si="0"/>
        <v>0</v>
      </c>
    </row>
    <row r="36" spans="1:4" x14ac:dyDescent="0.2">
      <c r="A36" s="18" t="s">
        <v>73</v>
      </c>
      <c r="B36" s="19">
        <v>2002</v>
      </c>
      <c r="C36" s="38"/>
      <c r="D36" s="44">
        <f t="shared" si="0"/>
        <v>0</v>
      </c>
    </row>
    <row r="37" spans="1:4" x14ac:dyDescent="0.2">
      <c r="A37" s="18" t="s">
        <v>74</v>
      </c>
      <c r="B37" s="19">
        <v>3544</v>
      </c>
      <c r="C37" s="38"/>
      <c r="D37" s="44">
        <f t="shared" si="0"/>
        <v>0</v>
      </c>
    </row>
    <row r="38" spans="1:4" x14ac:dyDescent="0.2">
      <c r="A38" s="18" t="s">
        <v>161</v>
      </c>
      <c r="B38" s="19">
        <v>2006</v>
      </c>
      <c r="C38" s="38"/>
      <c r="D38" s="44">
        <f t="shared" si="0"/>
        <v>0</v>
      </c>
    </row>
    <row r="39" spans="1:4" x14ac:dyDescent="0.2">
      <c r="A39" s="18" t="s">
        <v>76</v>
      </c>
      <c r="B39" s="19">
        <v>2434</v>
      </c>
      <c r="C39" s="38"/>
      <c r="D39" s="44">
        <f t="shared" si="0"/>
        <v>0</v>
      </c>
    </row>
    <row r="40" spans="1:4" x14ac:dyDescent="0.2">
      <c r="A40" s="18" t="s">
        <v>77</v>
      </c>
      <c r="B40" s="19">
        <v>2522</v>
      </c>
      <c r="C40" s="38"/>
      <c r="D40" s="44">
        <f t="shared" si="0"/>
        <v>0</v>
      </c>
    </row>
    <row r="41" spans="1:4" x14ac:dyDescent="0.2">
      <c r="A41" s="18" t="s">
        <v>78</v>
      </c>
      <c r="B41" s="19">
        <v>2436</v>
      </c>
      <c r="C41" s="38"/>
      <c r="D41" s="44">
        <f t="shared" si="0"/>
        <v>0</v>
      </c>
    </row>
    <row r="42" spans="1:4" x14ac:dyDescent="0.2">
      <c r="A42" s="18" t="s">
        <v>79</v>
      </c>
      <c r="B42" s="19">
        <v>2452</v>
      </c>
      <c r="C42" s="38"/>
      <c r="D42" s="44">
        <f t="shared" si="0"/>
        <v>0</v>
      </c>
    </row>
    <row r="43" spans="1:4" x14ac:dyDescent="0.2">
      <c r="A43" s="18" t="s">
        <v>80</v>
      </c>
      <c r="B43" s="19">
        <v>2627</v>
      </c>
      <c r="C43" s="38"/>
      <c r="D43" s="44">
        <f t="shared" si="0"/>
        <v>0</v>
      </c>
    </row>
    <row r="44" spans="1:4" x14ac:dyDescent="0.2">
      <c r="A44" s="18" t="s">
        <v>81</v>
      </c>
      <c r="B44" s="19">
        <v>2009</v>
      </c>
      <c r="C44" s="38"/>
      <c r="D44" s="44">
        <f t="shared" si="0"/>
        <v>0</v>
      </c>
    </row>
    <row r="45" spans="1:4" x14ac:dyDescent="0.2">
      <c r="A45" s="18" t="s">
        <v>162</v>
      </c>
      <c r="B45" s="19">
        <v>2473</v>
      </c>
      <c r="C45" s="38"/>
      <c r="D45" s="44">
        <f t="shared" si="0"/>
        <v>0</v>
      </c>
    </row>
    <row r="46" spans="1:4" x14ac:dyDescent="0.2">
      <c r="A46" s="18" t="s">
        <v>84</v>
      </c>
      <c r="B46" s="19">
        <v>2471</v>
      </c>
      <c r="C46" s="38"/>
      <c r="D46" s="44">
        <f t="shared" si="0"/>
        <v>0</v>
      </c>
    </row>
    <row r="47" spans="1:4" x14ac:dyDescent="0.2">
      <c r="A47" s="18" t="s">
        <v>82</v>
      </c>
      <c r="B47" s="19">
        <v>2420</v>
      </c>
      <c r="C47" s="38"/>
      <c r="D47" s="44">
        <f t="shared" si="0"/>
        <v>0</v>
      </c>
    </row>
    <row r="48" spans="1:4" x14ac:dyDescent="0.2">
      <c r="A48" s="18" t="s">
        <v>85</v>
      </c>
      <c r="B48" s="19">
        <v>2003</v>
      </c>
      <c r="C48" s="38"/>
      <c r="D48" s="44">
        <f t="shared" si="0"/>
        <v>0</v>
      </c>
    </row>
    <row r="49" spans="1:4" x14ac:dyDescent="0.2">
      <c r="A49" s="18" t="s">
        <v>86</v>
      </c>
      <c r="B49" s="19">
        <v>2423</v>
      </c>
      <c r="C49" s="38"/>
      <c r="D49" s="44">
        <f t="shared" si="0"/>
        <v>0</v>
      </c>
    </row>
    <row r="50" spans="1:4" x14ac:dyDescent="0.2">
      <c r="A50" s="18" t="s">
        <v>87</v>
      </c>
      <c r="B50" s="19">
        <v>2424</v>
      </c>
      <c r="C50" s="38"/>
      <c r="D50" s="44">
        <f t="shared" si="0"/>
        <v>0</v>
      </c>
    </row>
    <row r="51" spans="1:4" x14ac:dyDescent="0.2">
      <c r="A51" s="18" t="s">
        <v>88</v>
      </c>
      <c r="B51" s="19">
        <v>2439</v>
      </c>
      <c r="C51" s="38"/>
      <c r="D51" s="44">
        <f t="shared" si="0"/>
        <v>0</v>
      </c>
    </row>
    <row r="52" spans="1:4" x14ac:dyDescent="0.2">
      <c r="A52" s="18" t="s">
        <v>89</v>
      </c>
      <c r="B52" s="19">
        <v>2440</v>
      </c>
      <c r="C52" s="38"/>
      <c r="D52" s="44">
        <f t="shared" si="0"/>
        <v>0</v>
      </c>
    </row>
    <row r="53" spans="1:4" x14ac:dyDescent="0.2">
      <c r="A53" s="18" t="s">
        <v>163</v>
      </c>
      <c r="B53" s="19">
        <v>2462</v>
      </c>
      <c r="C53" s="38"/>
      <c r="D53" s="44">
        <f t="shared" si="0"/>
        <v>0</v>
      </c>
    </row>
    <row r="54" spans="1:4" x14ac:dyDescent="0.2">
      <c r="A54" s="18" t="s">
        <v>91</v>
      </c>
      <c r="B54" s="19">
        <v>2463</v>
      </c>
      <c r="C54" s="38"/>
      <c r="D54" s="44">
        <f t="shared" si="0"/>
        <v>0</v>
      </c>
    </row>
    <row r="55" spans="1:4" x14ac:dyDescent="0.2">
      <c r="A55" s="18" t="s">
        <v>92</v>
      </c>
      <c r="B55" s="19">
        <v>2505</v>
      </c>
      <c r="C55" s="38"/>
      <c r="D55" s="44">
        <f t="shared" si="0"/>
        <v>0</v>
      </c>
    </row>
    <row r="56" spans="1:4" x14ac:dyDescent="0.2">
      <c r="A56" s="18" t="s">
        <v>93</v>
      </c>
      <c r="B56" s="19">
        <v>2000</v>
      </c>
      <c r="C56" s="38"/>
      <c r="D56" s="44">
        <f t="shared" si="0"/>
        <v>0</v>
      </c>
    </row>
    <row r="57" spans="1:4" x14ac:dyDescent="0.2">
      <c r="A57" s="18" t="s">
        <v>94</v>
      </c>
      <c r="B57" s="19">
        <v>2458</v>
      </c>
      <c r="C57" s="38"/>
      <c r="D57" s="44">
        <f t="shared" si="0"/>
        <v>0</v>
      </c>
    </row>
    <row r="58" spans="1:4" x14ac:dyDescent="0.2">
      <c r="A58" s="18" t="s">
        <v>95</v>
      </c>
      <c r="B58" s="19">
        <v>2001</v>
      </c>
      <c r="C58" s="38"/>
      <c r="D58" s="44">
        <f t="shared" si="0"/>
        <v>0</v>
      </c>
    </row>
    <row r="59" spans="1:4" x14ac:dyDescent="0.2">
      <c r="A59" s="18" t="s">
        <v>96</v>
      </c>
      <c r="B59" s="19">
        <v>2429</v>
      </c>
      <c r="C59" s="38"/>
      <c r="D59" s="44">
        <f t="shared" si="0"/>
        <v>0</v>
      </c>
    </row>
    <row r="60" spans="1:4" x14ac:dyDescent="0.2">
      <c r="A60" s="18" t="s">
        <v>97</v>
      </c>
      <c r="B60" s="19">
        <v>2444</v>
      </c>
      <c r="C60" s="38"/>
      <c r="D60" s="44">
        <f t="shared" si="0"/>
        <v>0</v>
      </c>
    </row>
    <row r="61" spans="1:4" x14ac:dyDescent="0.2">
      <c r="A61" s="18" t="s">
        <v>98</v>
      </c>
      <c r="B61" s="19">
        <v>5209</v>
      </c>
      <c r="C61" s="38"/>
      <c r="D61" s="44">
        <f t="shared" si="0"/>
        <v>0</v>
      </c>
    </row>
    <row r="62" spans="1:4" x14ac:dyDescent="0.2">
      <c r="A62" s="18" t="s">
        <v>99</v>
      </c>
      <c r="B62" s="19">
        <v>2469</v>
      </c>
      <c r="C62" s="38"/>
      <c r="D62" s="44">
        <f t="shared" si="0"/>
        <v>0</v>
      </c>
    </row>
    <row r="63" spans="1:4" x14ac:dyDescent="0.2">
      <c r="A63" s="18" t="s">
        <v>100</v>
      </c>
      <c r="B63" s="19">
        <v>2430</v>
      </c>
      <c r="C63" s="38"/>
      <c r="D63" s="44">
        <f t="shared" si="0"/>
        <v>0</v>
      </c>
    </row>
    <row r="64" spans="1:4" x14ac:dyDescent="0.2">
      <c r="A64" s="18" t="s">
        <v>101</v>
      </c>
      <c r="B64" s="19">
        <v>2466</v>
      </c>
      <c r="C64" s="38"/>
      <c r="D64" s="44">
        <f t="shared" si="0"/>
        <v>0</v>
      </c>
    </row>
    <row r="65" spans="1:4" x14ac:dyDescent="0.2">
      <c r="A65" s="18" t="s">
        <v>102</v>
      </c>
      <c r="B65" s="19">
        <v>3543</v>
      </c>
      <c r="C65" s="38"/>
      <c r="D65" s="44">
        <f t="shared" si="0"/>
        <v>0</v>
      </c>
    </row>
    <row r="66" spans="1:4" x14ac:dyDescent="0.2">
      <c r="A66" s="18" t="s">
        <v>104</v>
      </c>
      <c r="B66" s="19">
        <v>3531</v>
      </c>
      <c r="C66" s="38"/>
      <c r="D66" s="44">
        <f t="shared" si="0"/>
        <v>0</v>
      </c>
    </row>
    <row r="67" spans="1:4" x14ac:dyDescent="0.2">
      <c r="A67" s="18" t="s">
        <v>164</v>
      </c>
      <c r="B67" s="19">
        <v>3526</v>
      </c>
      <c r="C67" s="38"/>
      <c r="D67" s="44">
        <f t="shared" si="0"/>
        <v>0</v>
      </c>
    </row>
    <row r="68" spans="1:4" x14ac:dyDescent="0.2">
      <c r="A68" s="18" t="s">
        <v>165</v>
      </c>
      <c r="B68" s="19">
        <v>3535</v>
      </c>
      <c r="C68" s="38"/>
      <c r="D68" s="44">
        <f t="shared" si="0"/>
        <v>0</v>
      </c>
    </row>
    <row r="69" spans="1:4" x14ac:dyDescent="0.2">
      <c r="A69" s="21" t="s">
        <v>107</v>
      </c>
      <c r="B69" s="19">
        <v>2008</v>
      </c>
      <c r="C69" s="38"/>
      <c r="D69" s="44">
        <f t="shared" si="0"/>
        <v>0</v>
      </c>
    </row>
    <row r="70" spans="1:4" x14ac:dyDescent="0.2">
      <c r="A70" s="18" t="s">
        <v>166</v>
      </c>
      <c r="B70" s="19">
        <v>3542</v>
      </c>
      <c r="C70" s="38"/>
      <c r="D70" s="44">
        <f t="shared" si="0"/>
        <v>0</v>
      </c>
    </row>
    <row r="71" spans="1:4" x14ac:dyDescent="0.2">
      <c r="A71" s="18" t="s">
        <v>167</v>
      </c>
      <c r="B71" s="19">
        <v>3528</v>
      </c>
      <c r="C71" s="38"/>
      <c r="D71" s="44">
        <f t="shared" ref="D71:D76" si="1">D$2*C71</f>
        <v>0</v>
      </c>
    </row>
    <row r="72" spans="1:4" x14ac:dyDescent="0.2">
      <c r="A72" s="18" t="s">
        <v>168</v>
      </c>
      <c r="B72" s="19">
        <v>3534</v>
      </c>
      <c r="C72" s="38"/>
      <c r="D72" s="44">
        <f t="shared" si="1"/>
        <v>0</v>
      </c>
    </row>
    <row r="73" spans="1:4" x14ac:dyDescent="0.2">
      <c r="A73" s="18" t="s">
        <v>169</v>
      </c>
      <c r="B73" s="19">
        <v>3532</v>
      </c>
      <c r="C73" s="38"/>
      <c r="D73" s="44">
        <f t="shared" si="1"/>
        <v>0</v>
      </c>
    </row>
    <row r="74" spans="1:4" x14ac:dyDescent="0.2">
      <c r="A74" s="18" t="s">
        <v>112</v>
      </c>
      <c r="B74" s="19">
        <v>3546</v>
      </c>
      <c r="C74" s="38"/>
      <c r="D74" s="44">
        <f t="shared" si="1"/>
        <v>0</v>
      </c>
    </row>
    <row r="75" spans="1:4" x14ac:dyDescent="0.2">
      <c r="A75" s="18" t="s">
        <v>170</v>
      </c>
      <c r="B75" s="19">
        <v>3530</v>
      </c>
      <c r="C75" s="38"/>
      <c r="D75" s="44">
        <f t="shared" si="1"/>
        <v>0</v>
      </c>
    </row>
    <row r="76" spans="1:4" x14ac:dyDescent="0.2">
      <c r="A76" s="18" t="s">
        <v>114</v>
      </c>
      <c r="B76" s="19">
        <v>2459</v>
      </c>
      <c r="C76" s="38"/>
      <c r="D76" s="44">
        <f t="shared" si="1"/>
        <v>0</v>
      </c>
    </row>
    <row r="77" spans="1:4" x14ac:dyDescent="0.2">
      <c r="A77" s="18"/>
      <c r="B77" s="19"/>
      <c r="C77" s="38"/>
      <c r="D77" s="42"/>
    </row>
    <row r="78" spans="1:4" x14ac:dyDescent="0.2">
      <c r="A78" s="9" t="s">
        <v>171</v>
      </c>
      <c r="B78" s="9" t="s">
        <v>171</v>
      </c>
      <c r="C78" s="40">
        <f>SUM(C7:C76)</f>
        <v>0</v>
      </c>
      <c r="D78" s="40">
        <f>SUM(D7:D76)</f>
        <v>0</v>
      </c>
    </row>
    <row r="79" spans="1:4" x14ac:dyDescent="0.2">
      <c r="A79" s="18"/>
      <c r="B79" s="19"/>
      <c r="C79" s="38"/>
      <c r="D79" s="42"/>
    </row>
    <row r="80" spans="1:4" x14ac:dyDescent="0.2">
      <c r="A80" s="18" t="s">
        <v>127</v>
      </c>
      <c r="B80" s="19">
        <v>5402</v>
      </c>
      <c r="C80" s="38">
        <v>190.9336870026525</v>
      </c>
      <c r="D80" s="44">
        <f>D$2*C80</f>
        <v>164042.58652519892</v>
      </c>
    </row>
    <row r="81" spans="1:4" x14ac:dyDescent="0.2">
      <c r="A81" s="18" t="s">
        <v>116</v>
      </c>
      <c r="B81" s="19">
        <v>4608</v>
      </c>
      <c r="C81" s="38">
        <v>211.31360946745562</v>
      </c>
      <c r="D81" s="44">
        <f t="shared" ref="D81:D92" si="2">D$2*C81</f>
        <v>181552.20071005917</v>
      </c>
    </row>
    <row r="82" spans="1:4" x14ac:dyDescent="0.2">
      <c r="A82" s="18" t="s">
        <v>172</v>
      </c>
      <c r="B82" s="19">
        <v>4178</v>
      </c>
      <c r="C82" s="38">
        <v>366.55874673629216</v>
      </c>
      <c r="D82" s="44">
        <f t="shared" si="2"/>
        <v>314932.61284595274</v>
      </c>
    </row>
    <row r="83" spans="1:4" x14ac:dyDescent="0.2">
      <c r="A83" s="18" t="s">
        <v>118</v>
      </c>
      <c r="B83" s="19">
        <v>4181</v>
      </c>
      <c r="C83" s="38">
        <v>298.03876739562628</v>
      </c>
      <c r="D83" s="44">
        <f t="shared" si="2"/>
        <v>256062.98739562626</v>
      </c>
    </row>
    <row r="84" spans="1:4" x14ac:dyDescent="0.2">
      <c r="A84" s="18" t="s">
        <v>119</v>
      </c>
      <c r="B84" s="19">
        <v>4182</v>
      </c>
      <c r="C84" s="38">
        <v>229.8043117744607</v>
      </c>
      <c r="D84" s="44">
        <f t="shared" si="2"/>
        <v>197438.67250414565</v>
      </c>
    </row>
    <row r="85" spans="1:4" x14ac:dyDescent="0.2">
      <c r="A85" s="18" t="s">
        <v>120</v>
      </c>
      <c r="B85" s="221">
        <v>4001</v>
      </c>
      <c r="C85" s="38">
        <v>391.36956521739148</v>
      </c>
      <c r="D85" s="44">
        <f t="shared" si="2"/>
        <v>336249.07565217407</v>
      </c>
    </row>
    <row r="86" spans="1:4" x14ac:dyDescent="0.2">
      <c r="A86" s="18" t="s">
        <v>173</v>
      </c>
      <c r="B86" s="19">
        <v>5406</v>
      </c>
      <c r="C86" s="38">
        <v>264.81223922114083</v>
      </c>
      <c r="D86" s="44">
        <f t="shared" si="2"/>
        <v>227516.08344923533</v>
      </c>
    </row>
    <row r="87" spans="1:4" x14ac:dyDescent="0.2">
      <c r="A87" s="18" t="s">
        <v>174</v>
      </c>
      <c r="B87" s="19">
        <v>5407</v>
      </c>
      <c r="C87" s="38">
        <v>364.26025917926609</v>
      </c>
      <c r="D87" s="44">
        <f t="shared" si="2"/>
        <v>312957.84427645826</v>
      </c>
    </row>
    <row r="88" spans="1:4" x14ac:dyDescent="0.2">
      <c r="A88" s="18" t="s">
        <v>123</v>
      </c>
      <c r="B88" s="19">
        <v>4607</v>
      </c>
      <c r="C88" s="38">
        <v>336.31163708086734</v>
      </c>
      <c r="D88" s="44">
        <f t="shared" si="2"/>
        <v>288945.50611439795</v>
      </c>
    </row>
    <row r="89" spans="1:4" x14ac:dyDescent="0.2">
      <c r="A89" s="18" t="s">
        <v>124</v>
      </c>
      <c r="B89" s="221">
        <v>4002</v>
      </c>
      <c r="C89" s="38">
        <v>336.12040133779277</v>
      </c>
      <c r="D89" s="44">
        <f t="shared" si="2"/>
        <v>288781.20401337801</v>
      </c>
    </row>
    <row r="90" spans="1:4" x14ac:dyDescent="0.2">
      <c r="A90" s="18" t="s">
        <v>175</v>
      </c>
      <c r="B90" s="19">
        <v>4177</v>
      </c>
      <c r="C90" s="38">
        <v>324.02684563758379</v>
      </c>
      <c r="D90" s="44">
        <f t="shared" si="2"/>
        <v>278390.90469798649</v>
      </c>
    </row>
    <row r="91" spans="1:4" x14ac:dyDescent="0.2">
      <c r="A91" s="18" t="s">
        <v>126</v>
      </c>
      <c r="B91" s="19">
        <v>5412</v>
      </c>
      <c r="C91" s="38">
        <v>252.99074852817529</v>
      </c>
      <c r="D91" s="44">
        <f t="shared" si="2"/>
        <v>217359.53150546708</v>
      </c>
    </row>
    <row r="92" spans="1:4" x14ac:dyDescent="0.2">
      <c r="A92" s="18" t="s">
        <v>125</v>
      </c>
      <c r="B92" s="19">
        <v>5414</v>
      </c>
      <c r="C92" s="38">
        <v>159.31034482758662</v>
      </c>
      <c r="D92" s="44">
        <f t="shared" si="2"/>
        <v>136873.07586206932</v>
      </c>
    </row>
    <row r="93" spans="1:4" x14ac:dyDescent="0.2">
      <c r="A93" s="18"/>
      <c r="B93" s="19"/>
      <c r="C93" s="38"/>
      <c r="D93" s="42"/>
    </row>
    <row r="94" spans="1:4" x14ac:dyDescent="0.2">
      <c r="A94" s="9" t="s">
        <v>176</v>
      </c>
      <c r="B94" s="9" t="s">
        <v>176</v>
      </c>
      <c r="C94" s="40">
        <f>SUM(C80:C92)</f>
        <v>3725.8511634062916</v>
      </c>
      <c r="D94" s="40">
        <f t="shared" ref="D94" si="3">SUM(D80:D92)</f>
        <v>3201102.2855521487</v>
      </c>
    </row>
    <row r="95" spans="1:4" x14ac:dyDescent="0.2">
      <c r="A95" s="18"/>
      <c r="B95" s="19"/>
      <c r="C95" s="38"/>
      <c r="D95" s="42"/>
    </row>
    <row r="96" spans="1:4" x14ac:dyDescent="0.2">
      <c r="A96" s="9" t="s">
        <v>177</v>
      </c>
      <c r="B96" s="9" t="s">
        <v>178</v>
      </c>
      <c r="C96" s="40">
        <f>C94+C78</f>
        <v>3725.8511634062916</v>
      </c>
      <c r="D96" s="40">
        <f t="shared" ref="D96" si="4">D94+D78</f>
        <v>3201102.2855521487</v>
      </c>
    </row>
    <row r="97" spans="1:5" x14ac:dyDescent="0.2">
      <c r="A97" s="586" t="s">
        <v>867</v>
      </c>
      <c r="B97" s="646">
        <v>12345</v>
      </c>
    </row>
    <row r="98" spans="1:5" x14ac:dyDescent="0.2">
      <c r="A98" s="20" t="s">
        <v>561</v>
      </c>
      <c r="B98" s="10">
        <v>206189</v>
      </c>
      <c r="C98" s="20"/>
      <c r="D98" s="20"/>
      <c r="E98" s="20"/>
    </row>
    <row r="99" spans="1:5" x14ac:dyDescent="0.2">
      <c r="A99" s="20" t="s">
        <v>564</v>
      </c>
      <c r="B99" s="10" t="s">
        <v>565</v>
      </c>
      <c r="C99" s="20"/>
      <c r="D99" s="20"/>
      <c r="E99" s="20"/>
    </row>
    <row r="100" spans="1:5" x14ac:dyDescent="0.2">
      <c r="A100" s="20" t="s">
        <v>36</v>
      </c>
      <c r="B100" s="10">
        <v>1014</v>
      </c>
      <c r="C100" s="20"/>
      <c r="D100" s="20"/>
      <c r="E100" s="20"/>
    </row>
    <row r="101" spans="1:5" x14ac:dyDescent="0.2">
      <c r="A101" s="20" t="s">
        <v>566</v>
      </c>
      <c r="B101" s="10" t="s">
        <v>568</v>
      </c>
      <c r="C101" s="20"/>
      <c r="D101" s="20"/>
      <c r="E101" s="20"/>
    </row>
    <row r="102" spans="1:5" x14ac:dyDescent="0.2">
      <c r="A102" s="20" t="s">
        <v>575</v>
      </c>
      <c r="B102" s="10" t="s">
        <v>576</v>
      </c>
      <c r="C102" s="20"/>
      <c r="D102" s="20"/>
      <c r="E102" s="20"/>
    </row>
    <row r="103" spans="1:5" x14ac:dyDescent="0.2">
      <c r="A103" s="20" t="s">
        <v>577</v>
      </c>
      <c r="B103" s="10">
        <v>206124</v>
      </c>
      <c r="C103" s="20"/>
      <c r="D103" s="20"/>
      <c r="E103" s="20"/>
    </row>
    <row r="104" spans="1:5" x14ac:dyDescent="0.2">
      <c r="A104" s="20" t="s">
        <v>580</v>
      </c>
      <c r="B104" s="10" t="s">
        <v>582</v>
      </c>
      <c r="C104" s="20"/>
      <c r="D104" s="20"/>
      <c r="E104" s="20"/>
    </row>
    <row r="105" spans="1:5" x14ac:dyDescent="0.2">
      <c r="A105" s="20" t="s">
        <v>583</v>
      </c>
      <c r="B105" s="10">
        <v>206126</v>
      </c>
      <c r="C105" s="20"/>
      <c r="D105" s="20"/>
      <c r="E105" s="20"/>
    </row>
    <row r="106" spans="1:5" x14ac:dyDescent="0.2">
      <c r="A106" s="20" t="s">
        <v>585</v>
      </c>
      <c r="B106" s="10">
        <v>206111</v>
      </c>
      <c r="C106" s="20"/>
      <c r="D106" s="20"/>
      <c r="E106" s="20"/>
    </row>
    <row r="107" spans="1:5" x14ac:dyDescent="0.2">
      <c r="A107" s="20" t="s">
        <v>587</v>
      </c>
      <c r="B107" s="10">
        <v>206091</v>
      </c>
      <c r="C107" s="20"/>
      <c r="D107" s="20"/>
      <c r="E107" s="20"/>
    </row>
    <row r="108" spans="1:5" x14ac:dyDescent="0.2">
      <c r="A108" s="20" t="s">
        <v>37</v>
      </c>
      <c r="B108" s="10">
        <v>1017</v>
      </c>
      <c r="C108" s="20"/>
      <c r="D108" s="20"/>
      <c r="E108" s="20"/>
    </row>
    <row r="109" spans="1:5" x14ac:dyDescent="0.2">
      <c r="A109" s="20" t="s">
        <v>38</v>
      </c>
      <c r="B109" s="10">
        <v>1006</v>
      </c>
      <c r="C109" s="20"/>
      <c r="D109" s="20"/>
      <c r="E109" s="20"/>
    </row>
    <row r="110" spans="1:5" x14ac:dyDescent="0.2">
      <c r="A110" s="20" t="s">
        <v>589</v>
      </c>
      <c r="B110" s="10" t="s">
        <v>590</v>
      </c>
      <c r="C110" s="20"/>
      <c r="D110" s="20"/>
      <c r="E110" s="20"/>
    </row>
    <row r="111" spans="1:5" x14ac:dyDescent="0.2">
      <c r="A111" s="20" t="s">
        <v>591</v>
      </c>
      <c r="B111" s="10">
        <v>206128</v>
      </c>
      <c r="C111" s="20"/>
      <c r="D111" s="20"/>
      <c r="E111" s="20"/>
    </row>
    <row r="112" spans="1:5" x14ac:dyDescent="0.2">
      <c r="A112" s="20" t="s">
        <v>908</v>
      </c>
      <c r="B112" s="10" t="s">
        <v>617</v>
      </c>
      <c r="C112" s="20"/>
      <c r="D112" s="20"/>
      <c r="E112" s="20"/>
    </row>
    <row r="113" spans="1:5" x14ac:dyDescent="0.2">
      <c r="A113" s="20" t="s">
        <v>898</v>
      </c>
      <c r="B113" s="10">
        <v>205921</v>
      </c>
      <c r="C113" s="20"/>
      <c r="D113" s="20"/>
      <c r="E113" s="20"/>
    </row>
    <row r="114" spans="1:5" x14ac:dyDescent="0.2">
      <c r="A114" s="20" t="s">
        <v>897</v>
      </c>
      <c r="B114" s="10">
        <v>205999</v>
      </c>
      <c r="C114" s="20"/>
      <c r="D114" s="20"/>
      <c r="E114" s="20"/>
    </row>
    <row r="115" spans="1:5" x14ac:dyDescent="0.2">
      <c r="A115" s="20" t="s">
        <v>896</v>
      </c>
      <c r="B115" s="10" t="s">
        <v>598</v>
      </c>
      <c r="C115" s="20"/>
      <c r="D115" s="20"/>
      <c r="E115" s="20"/>
    </row>
    <row r="116" spans="1:5" x14ac:dyDescent="0.2">
      <c r="A116" s="20" t="s">
        <v>899</v>
      </c>
      <c r="B116" s="10">
        <v>205922</v>
      </c>
      <c r="C116" s="20"/>
      <c r="D116" s="20"/>
      <c r="E116" s="20"/>
    </row>
    <row r="117" spans="1:5" x14ac:dyDescent="0.2">
      <c r="A117" s="20" t="s">
        <v>900</v>
      </c>
      <c r="B117" s="10" t="s">
        <v>603</v>
      </c>
      <c r="C117" s="20"/>
      <c r="D117" s="20"/>
      <c r="E117" s="20"/>
    </row>
    <row r="118" spans="1:5" x14ac:dyDescent="0.2">
      <c r="A118" s="20" t="s">
        <v>901</v>
      </c>
      <c r="B118" s="10">
        <v>205849</v>
      </c>
      <c r="C118" s="20"/>
      <c r="D118" s="20"/>
      <c r="E118" s="20"/>
    </row>
    <row r="119" spans="1:5" x14ac:dyDescent="0.2">
      <c r="A119" s="20" t="s">
        <v>902</v>
      </c>
      <c r="B119" s="10" t="s">
        <v>606</v>
      </c>
      <c r="C119" s="20"/>
      <c r="D119" s="20"/>
      <c r="E119" s="20"/>
    </row>
    <row r="120" spans="1:5" x14ac:dyDescent="0.2">
      <c r="A120" s="20" t="s">
        <v>903</v>
      </c>
      <c r="B120" s="10">
        <v>2</v>
      </c>
      <c r="C120" s="20"/>
      <c r="D120" s="20"/>
      <c r="E120" s="20"/>
    </row>
    <row r="121" spans="1:5" x14ac:dyDescent="0.2">
      <c r="A121" s="20" t="s">
        <v>904</v>
      </c>
      <c r="B121" s="10">
        <v>205956</v>
      </c>
      <c r="C121" s="20"/>
      <c r="D121" s="20"/>
      <c r="E121" s="20"/>
    </row>
    <row r="122" spans="1:5" x14ac:dyDescent="0.2">
      <c r="A122" s="20" t="s">
        <v>907</v>
      </c>
      <c r="B122" s="10" t="s">
        <v>613</v>
      </c>
      <c r="C122" s="20"/>
      <c r="D122" s="20"/>
      <c r="E122" s="20"/>
    </row>
    <row r="123" spans="1:5" x14ac:dyDescent="0.2">
      <c r="A123" s="20" t="s">
        <v>906</v>
      </c>
      <c r="B123" s="10" t="s">
        <v>615</v>
      </c>
      <c r="C123" s="20"/>
      <c r="D123" s="20"/>
      <c r="E123" s="20"/>
    </row>
    <row r="124" spans="1:5" x14ac:dyDescent="0.2">
      <c r="A124" s="20" t="s">
        <v>905</v>
      </c>
      <c r="B124" s="10" t="s">
        <v>612</v>
      </c>
      <c r="C124" s="20"/>
      <c r="D124" s="20"/>
      <c r="E124" s="20"/>
    </row>
    <row r="125" spans="1:5" x14ac:dyDescent="0.2">
      <c r="A125" s="20" t="s">
        <v>909</v>
      </c>
      <c r="B125" s="10" t="s">
        <v>618</v>
      </c>
      <c r="C125" s="20"/>
      <c r="D125" s="20"/>
      <c r="E125" s="20"/>
    </row>
    <row r="126" spans="1:5" x14ac:dyDescent="0.2">
      <c r="A126" s="20" t="s">
        <v>910</v>
      </c>
      <c r="B126" s="10" t="s">
        <v>619</v>
      </c>
      <c r="C126" s="20"/>
      <c r="D126" s="20"/>
      <c r="E126" s="20"/>
    </row>
    <row r="127" spans="1:5" x14ac:dyDescent="0.2">
      <c r="A127" s="20" t="s">
        <v>911</v>
      </c>
      <c r="B127" s="10" t="s">
        <v>620</v>
      </c>
      <c r="C127" s="20"/>
      <c r="D127" s="20"/>
      <c r="E127" s="20"/>
    </row>
    <row r="128" spans="1:5" x14ac:dyDescent="0.2">
      <c r="A128" s="20" t="s">
        <v>621</v>
      </c>
      <c r="B128" s="10" t="s">
        <v>622</v>
      </c>
      <c r="C128" s="20"/>
      <c r="D128" s="20"/>
      <c r="E128" s="20"/>
    </row>
    <row r="129" spans="1:5" x14ac:dyDescent="0.2">
      <c r="A129" s="20" t="s">
        <v>623</v>
      </c>
      <c r="B129" s="10" t="s">
        <v>625</v>
      </c>
      <c r="C129" s="20"/>
      <c r="D129" s="20"/>
      <c r="E129" s="20"/>
    </row>
    <row r="130" spans="1:5" x14ac:dyDescent="0.2">
      <c r="A130" s="20" t="s">
        <v>628</v>
      </c>
      <c r="B130" s="10" t="s">
        <v>629</v>
      </c>
      <c r="C130" s="20"/>
      <c r="D130" s="20"/>
      <c r="E130" s="20"/>
    </row>
    <row r="131" spans="1:5" x14ac:dyDescent="0.2">
      <c r="A131" s="20" t="s">
        <v>630</v>
      </c>
      <c r="B131" s="10">
        <v>258417</v>
      </c>
      <c r="C131" s="20"/>
      <c r="D131" s="20"/>
      <c r="E131" s="20"/>
    </row>
    <row r="132" spans="1:5" x14ac:dyDescent="0.2">
      <c r="A132" s="20" t="s">
        <v>632</v>
      </c>
      <c r="B132" s="10" t="s">
        <v>634</v>
      </c>
      <c r="C132" s="20"/>
      <c r="D132" s="20"/>
      <c r="E132" s="20"/>
    </row>
    <row r="133" spans="1:5" x14ac:dyDescent="0.2">
      <c r="A133" s="20" t="s">
        <v>635</v>
      </c>
      <c r="B133" s="10" t="s">
        <v>637</v>
      </c>
      <c r="C133" s="20"/>
      <c r="D133" s="20"/>
      <c r="E133" s="20"/>
    </row>
    <row r="134" spans="1:5" x14ac:dyDescent="0.2">
      <c r="A134" s="20" t="s">
        <v>638</v>
      </c>
      <c r="B134" s="10">
        <v>206106</v>
      </c>
      <c r="C134" s="20"/>
      <c r="D134" s="20"/>
      <c r="E134" s="20"/>
    </row>
    <row r="135" spans="1:5" x14ac:dyDescent="0.2">
      <c r="A135" s="20" t="s">
        <v>640</v>
      </c>
      <c r="B135" s="10" t="s">
        <v>641</v>
      </c>
      <c r="C135" s="20"/>
      <c r="D135" s="20"/>
      <c r="E135" s="20"/>
    </row>
    <row r="136" spans="1:5" x14ac:dyDescent="0.2">
      <c r="A136" s="20" t="s">
        <v>39</v>
      </c>
      <c r="B136" s="10">
        <v>1008</v>
      </c>
      <c r="C136" s="20"/>
      <c r="D136" s="20"/>
      <c r="E136" s="20"/>
    </row>
    <row r="137" spans="1:5" x14ac:dyDescent="0.2">
      <c r="A137" s="20" t="s">
        <v>642</v>
      </c>
      <c r="B137" s="10" t="s">
        <v>643</v>
      </c>
      <c r="C137" s="20"/>
      <c r="D137" s="20"/>
      <c r="E137" s="20"/>
    </row>
    <row r="138" spans="1:5" x14ac:dyDescent="0.2">
      <c r="A138" s="20" t="s">
        <v>644</v>
      </c>
      <c r="B138" s="10" t="s">
        <v>645</v>
      </c>
      <c r="C138" s="20"/>
      <c r="D138" s="20"/>
      <c r="E138" s="20"/>
    </row>
    <row r="139" spans="1:5" x14ac:dyDescent="0.2">
      <c r="A139" s="20" t="s">
        <v>646</v>
      </c>
      <c r="B139" s="10">
        <v>206133</v>
      </c>
      <c r="C139" s="20"/>
      <c r="D139" s="20"/>
      <c r="E139" s="20"/>
    </row>
    <row r="140" spans="1:5" x14ac:dyDescent="0.2">
      <c r="A140" s="20" t="s">
        <v>648</v>
      </c>
      <c r="B140" s="10" t="s">
        <v>650</v>
      </c>
      <c r="C140" s="20"/>
      <c r="D140" s="20"/>
      <c r="E140" s="20"/>
    </row>
    <row r="141" spans="1:5" x14ac:dyDescent="0.2">
      <c r="A141" s="20" t="s">
        <v>651</v>
      </c>
      <c r="B141" s="10">
        <v>206134</v>
      </c>
      <c r="C141" s="20"/>
      <c r="D141" s="20"/>
      <c r="E141" s="20"/>
    </row>
    <row r="142" spans="1:5" x14ac:dyDescent="0.2">
      <c r="A142" s="20" t="s">
        <v>655</v>
      </c>
      <c r="B142" s="10" t="s">
        <v>656</v>
      </c>
      <c r="C142" s="20"/>
      <c r="D142" s="20"/>
      <c r="E142" s="20"/>
    </row>
    <row r="143" spans="1:5" x14ac:dyDescent="0.2">
      <c r="A143" s="20" t="s">
        <v>657</v>
      </c>
      <c r="B143" s="10" t="s">
        <v>658</v>
      </c>
      <c r="C143" s="20"/>
      <c r="D143" s="20"/>
      <c r="E143" s="20"/>
    </row>
    <row r="144" spans="1:5" x14ac:dyDescent="0.2">
      <c r="A144" s="20" t="s">
        <v>659</v>
      </c>
      <c r="B144" s="10">
        <v>206109</v>
      </c>
      <c r="C144" s="20"/>
      <c r="D144" s="20"/>
      <c r="E144" s="20"/>
    </row>
    <row r="145" spans="1:5" x14ac:dyDescent="0.2">
      <c r="A145" s="20" t="s">
        <v>661</v>
      </c>
      <c r="B145" s="10">
        <v>206110</v>
      </c>
      <c r="C145" s="20"/>
      <c r="D145" s="20"/>
      <c r="E145" s="20"/>
    </row>
    <row r="146" spans="1:5" x14ac:dyDescent="0.2">
      <c r="A146" s="20" t="s">
        <v>663</v>
      </c>
      <c r="B146" s="10">
        <v>206135</v>
      </c>
      <c r="C146" s="20"/>
      <c r="D146" s="20"/>
      <c r="E146" s="20"/>
    </row>
    <row r="147" spans="1:5" x14ac:dyDescent="0.2">
      <c r="A147" s="20" t="s">
        <v>665</v>
      </c>
      <c r="B147" s="10">
        <v>509195</v>
      </c>
      <c r="C147" s="20"/>
      <c r="D147" s="20"/>
      <c r="E147" s="20"/>
    </row>
    <row r="148" spans="1:5" x14ac:dyDescent="0.2">
      <c r="A148" s="20" t="s">
        <v>667</v>
      </c>
      <c r="B148" s="10" t="s">
        <v>668</v>
      </c>
      <c r="C148" s="20"/>
      <c r="D148" s="20"/>
      <c r="E148" s="20"/>
    </row>
    <row r="149" spans="1:5" x14ac:dyDescent="0.2">
      <c r="A149" s="20" t="s">
        <v>671</v>
      </c>
      <c r="B149" s="10" t="s">
        <v>673</v>
      </c>
      <c r="C149" s="20"/>
      <c r="D149" s="20"/>
      <c r="E149" s="20"/>
    </row>
    <row r="150" spans="1:5" x14ac:dyDescent="0.2">
      <c r="A150" s="20" t="s">
        <v>674</v>
      </c>
      <c r="B150" s="10">
        <v>509199</v>
      </c>
      <c r="C150" s="20"/>
      <c r="D150" s="20"/>
      <c r="E150" s="20"/>
    </row>
    <row r="151" spans="1:5" x14ac:dyDescent="0.2">
      <c r="A151" s="20" t="s">
        <v>676</v>
      </c>
      <c r="B151" s="10">
        <v>509197</v>
      </c>
      <c r="C151" s="20"/>
      <c r="D151" s="20"/>
      <c r="E151" s="20"/>
    </row>
    <row r="152" spans="1:5" x14ac:dyDescent="0.2">
      <c r="A152" s="20" t="s">
        <v>678</v>
      </c>
      <c r="B152" s="10" t="s">
        <v>680</v>
      </c>
      <c r="C152" s="20"/>
      <c r="D152" s="20"/>
      <c r="E152" s="20"/>
    </row>
    <row r="153" spans="1:5" x14ac:dyDescent="0.2">
      <c r="A153" s="20" t="s">
        <v>40</v>
      </c>
      <c r="B153" s="10">
        <v>1005</v>
      </c>
      <c r="C153" s="20"/>
      <c r="D153" s="20"/>
      <c r="E153" s="20"/>
    </row>
    <row r="154" spans="1:5" x14ac:dyDescent="0.2">
      <c r="A154" s="20" t="s">
        <v>683</v>
      </c>
      <c r="B154" s="10">
        <v>206117</v>
      </c>
      <c r="C154" s="20"/>
      <c r="D154" s="20"/>
      <c r="E154" s="20"/>
    </row>
    <row r="155" spans="1:5" x14ac:dyDescent="0.2">
      <c r="A155" s="20" t="s">
        <v>685</v>
      </c>
      <c r="B155" s="10">
        <v>206141</v>
      </c>
      <c r="C155" s="20"/>
      <c r="D155" s="20"/>
      <c r="E155" s="20"/>
    </row>
    <row r="156" spans="1:5" x14ac:dyDescent="0.2">
      <c r="A156" s="20" t="s">
        <v>687</v>
      </c>
      <c r="B156" s="10" t="s">
        <v>689</v>
      </c>
      <c r="C156" s="20"/>
      <c r="D156" s="20"/>
      <c r="E156" s="20"/>
    </row>
    <row r="157" spans="1:5" x14ac:dyDescent="0.2">
      <c r="A157" s="20" t="s">
        <v>690</v>
      </c>
      <c r="B157" s="10">
        <v>258404</v>
      </c>
      <c r="C157" s="20"/>
      <c r="D157" s="20"/>
      <c r="E157" s="20"/>
    </row>
    <row r="158" spans="1:5" x14ac:dyDescent="0.2">
      <c r="A158" s="20" t="s">
        <v>692</v>
      </c>
      <c r="B158" s="10">
        <v>258405</v>
      </c>
      <c r="C158" s="20"/>
      <c r="D158" s="20"/>
      <c r="E158" s="20"/>
    </row>
    <row r="159" spans="1:5" x14ac:dyDescent="0.2">
      <c r="A159" s="20" t="s">
        <v>694</v>
      </c>
      <c r="B159" s="10">
        <v>258406</v>
      </c>
      <c r="C159" s="20"/>
      <c r="D159" s="20"/>
      <c r="E159" s="20"/>
    </row>
    <row r="160" spans="1:5" x14ac:dyDescent="0.2">
      <c r="A160" s="20" t="s">
        <v>696</v>
      </c>
      <c r="B160" s="10">
        <v>206160</v>
      </c>
      <c r="C160" s="20"/>
      <c r="D160" s="20"/>
      <c r="E160" s="20"/>
    </row>
    <row r="161" spans="1:5" x14ac:dyDescent="0.2">
      <c r="A161" s="20" t="s">
        <v>698</v>
      </c>
      <c r="B161" s="10" t="s">
        <v>700</v>
      </c>
      <c r="C161" s="20"/>
      <c r="D161" s="20"/>
      <c r="E161" s="20"/>
    </row>
    <row r="162" spans="1:5" x14ac:dyDescent="0.2">
      <c r="A162" s="20" t="s">
        <v>701</v>
      </c>
      <c r="B162" s="10" t="s">
        <v>702</v>
      </c>
      <c r="C162" s="20"/>
      <c r="D162" s="20"/>
      <c r="E162" s="20"/>
    </row>
    <row r="163" spans="1:5" x14ac:dyDescent="0.2">
      <c r="A163" s="20" t="s">
        <v>703</v>
      </c>
      <c r="B163" s="10" t="s">
        <v>705</v>
      </c>
      <c r="C163" s="20"/>
      <c r="D163" s="20"/>
      <c r="E163" s="20"/>
    </row>
    <row r="164" spans="1:5" x14ac:dyDescent="0.2">
      <c r="A164" s="20" t="s">
        <v>706</v>
      </c>
      <c r="B164" s="10">
        <v>206146</v>
      </c>
      <c r="C164" s="20"/>
      <c r="D164" s="20"/>
      <c r="E164" s="20"/>
    </row>
    <row r="165" spans="1:5" x14ac:dyDescent="0.2">
      <c r="A165" s="20" t="s">
        <v>708</v>
      </c>
      <c r="B165" s="10" t="s">
        <v>709</v>
      </c>
      <c r="C165" s="20"/>
      <c r="D165" s="20"/>
      <c r="E165" s="20"/>
    </row>
    <row r="166" spans="1:5" x14ac:dyDescent="0.2">
      <c r="A166" s="20" t="s">
        <v>715</v>
      </c>
      <c r="B166" s="10" t="s">
        <v>716</v>
      </c>
      <c r="C166" s="20"/>
      <c r="D166" s="20"/>
      <c r="E166" s="20"/>
    </row>
    <row r="167" spans="1:5" x14ac:dyDescent="0.2">
      <c r="A167" s="20" t="s">
        <v>717</v>
      </c>
      <c r="B167" s="10" t="s">
        <v>719</v>
      </c>
      <c r="C167" s="20"/>
      <c r="D167" s="20"/>
      <c r="E167" s="20"/>
    </row>
    <row r="168" spans="1:5" x14ac:dyDescent="0.2">
      <c r="A168" s="20" t="s">
        <v>720</v>
      </c>
      <c r="B168" s="10" t="s">
        <v>721</v>
      </c>
      <c r="C168" s="20"/>
      <c r="D168" s="20"/>
      <c r="E168" s="20"/>
    </row>
    <row r="169" spans="1:5" x14ac:dyDescent="0.2">
      <c r="A169" s="20" t="s">
        <v>722</v>
      </c>
      <c r="B169" s="10">
        <v>113044</v>
      </c>
      <c r="C169" s="20"/>
      <c r="D169" s="20"/>
      <c r="E169" s="20"/>
    </row>
    <row r="170" spans="1:5" x14ac:dyDescent="0.2">
      <c r="A170" s="20" t="s">
        <v>724</v>
      </c>
      <c r="B170" s="10" t="s">
        <v>726</v>
      </c>
      <c r="C170" s="20"/>
      <c r="D170" s="20"/>
      <c r="E170" s="20"/>
    </row>
    <row r="171" spans="1:5" x14ac:dyDescent="0.2">
      <c r="A171" s="20" t="s">
        <v>727</v>
      </c>
      <c r="B171" s="10" t="s">
        <v>729</v>
      </c>
      <c r="C171" s="20"/>
      <c r="D171" s="20"/>
      <c r="E171" s="20"/>
    </row>
    <row r="172" spans="1:5" x14ac:dyDescent="0.2">
      <c r="A172" s="211" t="s">
        <v>730</v>
      </c>
      <c r="B172" s="828" t="s">
        <v>732</v>
      </c>
      <c r="C172" s="20"/>
      <c r="D172" s="20"/>
      <c r="E172" s="20"/>
    </row>
    <row r="173" spans="1:5" x14ac:dyDescent="0.2">
      <c r="A173" s="211" t="s">
        <v>733</v>
      </c>
      <c r="B173" s="828" t="s">
        <v>735</v>
      </c>
      <c r="C173" s="20"/>
      <c r="D173" s="20"/>
      <c r="E173" s="20"/>
    </row>
    <row r="174" spans="1:5" x14ac:dyDescent="0.2">
      <c r="A174" s="211" t="s">
        <v>736</v>
      </c>
      <c r="B174" s="828" t="s">
        <v>737</v>
      </c>
      <c r="C174" s="20"/>
      <c r="D174" s="20"/>
      <c r="E174" s="20"/>
    </row>
    <row r="175" spans="1:5" x14ac:dyDescent="0.2">
      <c r="A175" s="211" t="s">
        <v>738</v>
      </c>
      <c r="B175" s="828">
        <v>206152</v>
      </c>
      <c r="C175" s="20"/>
      <c r="D175" s="20"/>
      <c r="E175" s="20"/>
    </row>
    <row r="176" spans="1:5" x14ac:dyDescent="0.2">
      <c r="A176" s="211" t="s">
        <v>103</v>
      </c>
      <c r="B176" s="828">
        <v>3158</v>
      </c>
      <c r="C176" s="20"/>
      <c r="D176" s="20"/>
      <c r="E176" s="20"/>
    </row>
    <row r="177" spans="1:5" x14ac:dyDescent="0.2">
      <c r="A177" s="211" t="s">
        <v>740</v>
      </c>
      <c r="B177" s="828">
        <v>206153</v>
      </c>
      <c r="C177" s="20"/>
      <c r="D177" s="20"/>
      <c r="E177" s="20"/>
    </row>
    <row r="178" spans="1:5" x14ac:dyDescent="0.2">
      <c r="A178" s="211" t="s">
        <v>742</v>
      </c>
      <c r="B178" s="828">
        <v>206154</v>
      </c>
      <c r="C178" s="20"/>
      <c r="D178" s="20"/>
      <c r="E178" s="20"/>
    </row>
    <row r="179" spans="1:5" x14ac:dyDescent="0.2">
      <c r="A179" s="211" t="s">
        <v>744</v>
      </c>
      <c r="B179" s="828" t="s">
        <v>745</v>
      </c>
      <c r="C179" s="20"/>
      <c r="D179" s="20"/>
      <c r="E179" s="20"/>
    </row>
    <row r="180" spans="1:5" x14ac:dyDescent="0.2">
      <c r="A180" s="211" t="s">
        <v>41</v>
      </c>
      <c r="B180" s="828">
        <v>1010</v>
      </c>
      <c r="C180" s="20"/>
      <c r="D180" s="20"/>
      <c r="E180" s="20"/>
    </row>
    <row r="181" spans="1:5" x14ac:dyDescent="0.2">
      <c r="A181" s="211" t="s">
        <v>746</v>
      </c>
      <c r="B181" s="828" t="s">
        <v>748</v>
      </c>
      <c r="C181" s="20"/>
      <c r="D181" s="20"/>
      <c r="E181" s="20"/>
    </row>
    <row r="182" spans="1:5" x14ac:dyDescent="0.2">
      <c r="A182" s="211" t="s">
        <v>749</v>
      </c>
      <c r="B182" s="828" t="s">
        <v>751</v>
      </c>
      <c r="C182" s="20"/>
      <c r="D182" s="20"/>
      <c r="E182" s="20"/>
    </row>
    <row r="183" spans="1:5" x14ac:dyDescent="0.2">
      <c r="A183" s="211" t="s">
        <v>752</v>
      </c>
      <c r="B183" s="828">
        <v>206103</v>
      </c>
      <c r="C183" s="20"/>
      <c r="D183" s="20"/>
      <c r="E183" s="20"/>
    </row>
    <row r="184" spans="1:5" x14ac:dyDescent="0.2">
      <c r="A184" s="211" t="s">
        <v>753</v>
      </c>
      <c r="B184" s="828" t="s">
        <v>755</v>
      </c>
      <c r="C184" s="20"/>
      <c r="D184" s="20"/>
      <c r="E184" s="20"/>
    </row>
    <row r="185" spans="1:5" x14ac:dyDescent="0.2">
      <c r="A185" s="211" t="s">
        <v>756</v>
      </c>
      <c r="B185" s="828" t="s">
        <v>758</v>
      </c>
      <c r="C185" s="20"/>
      <c r="D185" s="20"/>
      <c r="E185" s="20"/>
    </row>
    <row r="186" spans="1:5" x14ac:dyDescent="0.2">
      <c r="A186" s="211" t="s">
        <v>759</v>
      </c>
      <c r="B186" s="828">
        <v>258420</v>
      </c>
      <c r="C186" s="20"/>
      <c r="D186" s="20"/>
      <c r="E186" s="20"/>
    </row>
    <row r="187" spans="1:5" x14ac:dyDescent="0.2">
      <c r="A187" s="211" t="s">
        <v>761</v>
      </c>
      <c r="B187" s="828">
        <v>258424</v>
      </c>
      <c r="C187" s="20"/>
      <c r="D187" s="20"/>
      <c r="E187" s="20"/>
    </row>
    <row r="188" spans="1:5" x14ac:dyDescent="0.2">
      <c r="A188" s="211" t="s">
        <v>42</v>
      </c>
      <c r="B188" s="828">
        <v>1009</v>
      </c>
      <c r="C188" s="20"/>
      <c r="D188" s="20"/>
      <c r="E188" s="20"/>
    </row>
    <row r="189" spans="1:5" x14ac:dyDescent="0.2">
      <c r="A189" s="211" t="s">
        <v>770</v>
      </c>
      <c r="B189" s="828" t="s">
        <v>771</v>
      </c>
      <c r="C189" s="20"/>
      <c r="D189" s="20"/>
      <c r="E189" s="20"/>
    </row>
    <row r="190" spans="1:5" x14ac:dyDescent="0.2">
      <c r="A190" s="211" t="s">
        <v>765</v>
      </c>
      <c r="B190" s="828" t="s">
        <v>767</v>
      </c>
      <c r="C190" s="20"/>
      <c r="D190" s="20"/>
      <c r="E190" s="20"/>
    </row>
    <row r="191" spans="1:5" x14ac:dyDescent="0.2">
      <c r="A191" s="211" t="s">
        <v>43</v>
      </c>
      <c r="B191" s="828">
        <v>1015</v>
      </c>
      <c r="C191" s="20"/>
      <c r="D191" s="20"/>
      <c r="E191" s="20"/>
    </row>
    <row r="192" spans="1:5" x14ac:dyDescent="0.2">
      <c r="A192" s="211" t="s">
        <v>768</v>
      </c>
      <c r="B192" s="828" t="s">
        <v>769</v>
      </c>
      <c r="C192" s="20"/>
      <c r="D192" s="20"/>
      <c r="E192" s="20"/>
    </row>
    <row r="193" spans="1:5" x14ac:dyDescent="0.2">
      <c r="A193" s="211" t="s">
        <v>772</v>
      </c>
      <c r="B193" s="828">
        <v>509204</v>
      </c>
      <c r="C193" s="20"/>
      <c r="D193" s="20"/>
      <c r="E193" s="20"/>
    </row>
    <row r="194" spans="1:5" x14ac:dyDescent="0.2">
      <c r="A194" s="491" t="s">
        <v>569</v>
      </c>
      <c r="B194" s="654" t="s">
        <v>570</v>
      </c>
      <c r="C194" s="623"/>
      <c r="D194" s="603"/>
    </row>
    <row r="195" spans="1:5" x14ac:dyDescent="0.2">
      <c r="A195" s="665" t="s">
        <v>571</v>
      </c>
      <c r="B195" s="662" t="s">
        <v>572</v>
      </c>
      <c r="C195" s="623"/>
      <c r="D195" s="603"/>
    </row>
    <row r="196" spans="1:5" ht="15" x14ac:dyDescent="0.25">
      <c r="A196" s="665" t="s">
        <v>573</v>
      </c>
      <c r="B196" s="661" t="s">
        <v>574</v>
      </c>
      <c r="C196" s="623"/>
      <c r="D196" s="603"/>
    </row>
    <row r="197" spans="1:5" x14ac:dyDescent="0.2">
      <c r="A197" s="659" t="s">
        <v>593</v>
      </c>
      <c r="B197" s="657" t="s">
        <v>594</v>
      </c>
      <c r="C197" s="623"/>
      <c r="D197" s="586"/>
    </row>
    <row r="198" spans="1:5" x14ac:dyDescent="0.2">
      <c r="A198" s="659" t="s">
        <v>595</v>
      </c>
      <c r="B198" s="657" t="s">
        <v>596</v>
      </c>
      <c r="C198" s="623"/>
      <c r="D198" s="603"/>
    </row>
    <row r="199" spans="1:5" x14ac:dyDescent="0.2">
      <c r="A199" s="331" t="s">
        <v>1026</v>
      </c>
      <c r="B199" s="331" t="s">
        <v>599</v>
      </c>
      <c r="C199" s="623"/>
      <c r="D199" s="586"/>
    </row>
    <row r="200" spans="1:5" x14ac:dyDescent="0.2">
      <c r="A200" s="331" t="s">
        <v>1027</v>
      </c>
      <c r="B200" s="331" t="s">
        <v>600</v>
      </c>
      <c r="C200" s="623"/>
      <c r="D200" s="586"/>
    </row>
    <row r="201" spans="1:5" x14ac:dyDescent="0.2">
      <c r="A201" s="331" t="s">
        <v>1014</v>
      </c>
      <c r="B201" s="331" t="s">
        <v>601</v>
      </c>
      <c r="C201" s="623"/>
      <c r="D201" s="586"/>
    </row>
    <row r="202" spans="1:5" x14ac:dyDescent="0.2">
      <c r="A202" s="331" t="s">
        <v>1015</v>
      </c>
      <c r="B202" s="331" t="s">
        <v>602</v>
      </c>
      <c r="C202" s="623"/>
      <c r="D202" s="586"/>
    </row>
    <row r="203" spans="1:5" x14ac:dyDescent="0.2">
      <c r="A203" s="331" t="s">
        <v>1016</v>
      </c>
      <c r="B203" s="331" t="s">
        <v>604</v>
      </c>
      <c r="C203" s="623"/>
      <c r="D203" s="586"/>
    </row>
    <row r="204" spans="1:5" x14ac:dyDescent="0.2">
      <c r="A204" s="331" t="s">
        <v>1017</v>
      </c>
      <c r="B204" s="331" t="s">
        <v>605</v>
      </c>
      <c r="C204" s="623"/>
      <c r="D204" s="586"/>
    </row>
    <row r="205" spans="1:5" x14ac:dyDescent="0.2">
      <c r="A205" s="612" t="s">
        <v>1018</v>
      </c>
      <c r="B205" s="658" t="s">
        <v>607</v>
      </c>
      <c r="C205" s="623"/>
      <c r="D205" s="586"/>
    </row>
    <row r="206" spans="1:5" x14ac:dyDescent="0.2">
      <c r="A206" s="664" t="s">
        <v>1019</v>
      </c>
      <c r="B206" s="662" t="s">
        <v>608</v>
      </c>
      <c r="C206" s="623"/>
      <c r="D206" s="586"/>
    </row>
    <row r="207" spans="1:5" x14ac:dyDescent="0.2">
      <c r="A207" s="607" t="s">
        <v>1020</v>
      </c>
      <c r="B207" s="807" t="s">
        <v>609</v>
      </c>
      <c r="C207" s="623"/>
      <c r="D207" s="586"/>
    </row>
    <row r="208" spans="1:5" x14ac:dyDescent="0.2">
      <c r="A208" s="808" t="s">
        <v>1021</v>
      </c>
      <c r="B208" s="662" t="s">
        <v>610</v>
      </c>
      <c r="C208" s="623"/>
      <c r="D208" s="586"/>
    </row>
    <row r="209" spans="1:4" x14ac:dyDescent="0.2">
      <c r="A209" s="612" t="s">
        <v>1022</v>
      </c>
      <c r="B209" s="608" t="s">
        <v>611</v>
      </c>
      <c r="C209" s="623"/>
      <c r="D209" s="586"/>
    </row>
    <row r="210" spans="1:4" x14ac:dyDescent="0.2">
      <c r="A210" s="607" t="s">
        <v>905</v>
      </c>
      <c r="B210" s="608" t="s">
        <v>612</v>
      </c>
      <c r="C210" s="623"/>
      <c r="D210" s="586"/>
    </row>
    <row r="211" spans="1:4" x14ac:dyDescent="0.2">
      <c r="A211" s="808" t="s">
        <v>1023</v>
      </c>
      <c r="B211" s="802" t="s">
        <v>614</v>
      </c>
      <c r="C211" s="623"/>
      <c r="D211" s="586"/>
    </row>
    <row r="212" spans="1:4" x14ac:dyDescent="0.2">
      <c r="A212" s="612" t="s">
        <v>1024</v>
      </c>
      <c r="B212" s="608">
        <v>206043</v>
      </c>
      <c r="C212" s="623"/>
      <c r="D212" s="586"/>
    </row>
    <row r="213" spans="1:4" x14ac:dyDescent="0.2">
      <c r="A213" s="611" t="s">
        <v>1025</v>
      </c>
      <c r="B213" s="809" t="s">
        <v>616</v>
      </c>
      <c r="C213" s="623"/>
      <c r="D213" s="586"/>
    </row>
    <row r="214" spans="1:4" x14ac:dyDescent="0.2">
      <c r="A214" s="804" t="s">
        <v>669</v>
      </c>
      <c r="B214" s="722" t="s">
        <v>670</v>
      </c>
      <c r="C214" s="623"/>
      <c r="D214" s="603"/>
    </row>
    <row r="215" spans="1:4" x14ac:dyDescent="0.2">
      <c r="A215" s="659" t="s">
        <v>681</v>
      </c>
      <c r="B215" s="657" t="s">
        <v>682</v>
      </c>
      <c r="C215" s="623"/>
      <c r="D215" s="586"/>
    </row>
    <row r="216" spans="1:4" x14ac:dyDescent="0.2">
      <c r="A216" s="491" t="s">
        <v>653</v>
      </c>
      <c r="B216" s="706" t="s">
        <v>654</v>
      </c>
    </row>
    <row r="217" spans="1:4" x14ac:dyDescent="0.2">
      <c r="A217" s="215" t="s">
        <v>63</v>
      </c>
      <c r="B217" s="823">
        <v>2448</v>
      </c>
    </row>
    <row r="218" spans="1:4" x14ac:dyDescent="0.2">
      <c r="A218" s="583" t="s">
        <v>1033</v>
      </c>
      <c r="B218" s="837">
        <v>4000</v>
      </c>
    </row>
    <row r="219" spans="1:4" x14ac:dyDescent="0.2">
      <c r="A219" s="198"/>
      <c r="B219" s="198"/>
    </row>
    <row r="220" spans="1:4" x14ac:dyDescent="0.2">
      <c r="A220" s="198"/>
      <c r="B220" s="198"/>
    </row>
    <row r="221" spans="1:4" x14ac:dyDescent="0.2">
      <c r="A221" s="198"/>
      <c r="B221" s="198"/>
    </row>
    <row r="222" spans="1:4" x14ac:dyDescent="0.2">
      <c r="A222" s="198"/>
      <c r="B222" s="198"/>
    </row>
    <row r="223" spans="1:4" x14ac:dyDescent="0.2">
      <c r="A223" s="198"/>
      <c r="B223" s="198"/>
    </row>
  </sheetData>
  <sheetProtection password="EF5C" sheet="1" objects="1" scenarios="1" selectLockedCells="1" selectUnlockedCells="1"/>
  <mergeCells count="1">
    <mergeCell ref="B1:B5"/>
  </mergeCell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Layout" zoomScale="88" zoomScaleNormal="75" zoomScalePageLayoutView="88" workbookViewId="0">
      <selection activeCell="A3" sqref="A3"/>
    </sheetView>
  </sheetViews>
  <sheetFormatPr defaultRowHeight="12.75" x14ac:dyDescent="0.2"/>
  <cols>
    <col min="1" max="1" width="71.140625" style="586" customWidth="1"/>
    <col min="2" max="2" width="30.28515625" style="586" customWidth="1"/>
    <col min="3" max="3" width="24.7109375" style="586" customWidth="1"/>
    <col min="4" max="4" width="32" style="596" customWidth="1"/>
    <col min="5" max="6" width="9.140625" style="586"/>
    <col min="7" max="7" width="13.140625" style="586" bestFit="1" customWidth="1"/>
    <col min="8" max="16384" width="9.140625" style="586"/>
  </cols>
  <sheetData>
    <row r="1" spans="1:4" ht="39" customHeight="1" thickBot="1" x14ac:dyDescent="0.3">
      <c r="A1" s="585"/>
      <c r="B1" s="598"/>
      <c r="C1" s="598"/>
      <c r="D1" s="599"/>
    </row>
    <row r="2" spans="1:4" ht="15.75" customHeight="1" thickBot="1" x14ac:dyDescent="0.25">
      <c r="A2" s="840" t="s">
        <v>1040</v>
      </c>
      <c r="B2" s="587"/>
      <c r="C2" s="587"/>
      <c r="D2" s="588"/>
    </row>
    <row r="3" spans="1:4" ht="20.25" customHeight="1" thickBot="1" x14ac:dyDescent="0.25">
      <c r="A3" s="779" t="s">
        <v>867</v>
      </c>
      <c r="B3" s="592"/>
      <c r="C3" s="587"/>
      <c r="D3" s="590"/>
    </row>
    <row r="4" spans="1:4" x14ac:dyDescent="0.2">
      <c r="A4" s="589"/>
      <c r="B4" s="592"/>
      <c r="C4" s="600" t="s">
        <v>863</v>
      </c>
      <c r="D4" s="667"/>
    </row>
    <row r="5" spans="1:4" ht="12.75" customHeight="1" x14ac:dyDescent="0.2">
      <c r="A5" s="589"/>
      <c r="B5" s="592"/>
      <c r="C5" s="591" t="str">
        <f>VLOOKUP($A$3,'Special Schools List'!A:C,3,FALSE)</f>
        <v>All</v>
      </c>
      <c r="D5" s="667"/>
    </row>
    <row r="6" spans="1:4" x14ac:dyDescent="0.2">
      <c r="A6" s="593"/>
      <c r="B6" s="600"/>
      <c r="C6" s="587"/>
      <c r="D6" s="588"/>
    </row>
    <row r="7" spans="1:4" ht="25.5" customHeight="1" thickBot="1" x14ac:dyDescent="0.3">
      <c r="A7" s="1226" t="s">
        <v>1041</v>
      </c>
      <c r="B7" s="1227"/>
      <c r="C7" s="1227"/>
      <c r="D7" s="1228"/>
    </row>
    <row r="8" spans="1:4" ht="12.75" customHeight="1" thickBot="1" x14ac:dyDescent="0.25">
      <c r="A8" s="790"/>
      <c r="B8" s="601" t="s">
        <v>864</v>
      </c>
      <c r="C8" s="780" t="s">
        <v>865</v>
      </c>
      <c r="D8" s="773" t="s">
        <v>815</v>
      </c>
    </row>
    <row r="9" spans="1:4" s="602" customFormat="1" ht="50.1" customHeight="1" thickBot="1" x14ac:dyDescent="0.25">
      <c r="A9" s="783" t="s">
        <v>984</v>
      </c>
      <c r="B9" s="781">
        <f>VLOOKUP($C$5,'Special and PRU Data'!$A$6:$CS$14,4,FALSE)+VLOOKUP('Special Schools &amp; PRU'!$C$5,'Special and PRU Data'!$A$6:$E$14,5,FALSE)</f>
        <v>474</v>
      </c>
      <c r="C9" s="782">
        <v>10000</v>
      </c>
      <c r="D9" s="774">
        <f>C9*B9</f>
        <v>4740000</v>
      </c>
    </row>
    <row r="10" spans="1:4" ht="12.75" customHeight="1" thickBot="1" x14ac:dyDescent="0.25">
      <c r="A10" s="790"/>
      <c r="B10" s="775" t="s">
        <v>864</v>
      </c>
      <c r="C10" s="776" t="s">
        <v>865</v>
      </c>
      <c r="D10" s="773" t="s">
        <v>815</v>
      </c>
    </row>
    <row r="11" spans="1:4" s="602" customFormat="1" ht="50.1" customHeight="1" thickBot="1" x14ac:dyDescent="0.25">
      <c r="A11" s="784" t="s">
        <v>872</v>
      </c>
      <c r="B11" s="788">
        <f>VLOOKUP($C$5,'Special and PRU Data'!$A$20:$CS$28,6,FALSE)</f>
        <v>60</v>
      </c>
      <c r="C11" s="777">
        <v>10000</v>
      </c>
      <c r="D11" s="774">
        <f>C11*B11</f>
        <v>600000</v>
      </c>
    </row>
    <row r="12" spans="1:4" s="602" customFormat="1" ht="12.75" customHeight="1" thickBot="1" x14ac:dyDescent="0.25">
      <c r="A12" s="789"/>
      <c r="B12" s="775" t="s">
        <v>864</v>
      </c>
      <c r="C12" s="776"/>
      <c r="D12" s="773" t="s">
        <v>815</v>
      </c>
    </row>
    <row r="13" spans="1:4" s="602" customFormat="1" ht="50.1" customHeight="1" thickBot="1" x14ac:dyDescent="0.25">
      <c r="A13" s="785" t="s">
        <v>985</v>
      </c>
      <c r="B13" s="788">
        <f>VLOOKUP($C$5,'Special and PRU Data'!$A$6:$CS$14,3,FALSE)</f>
        <v>96</v>
      </c>
      <c r="C13" s="778">
        <v>8000</v>
      </c>
      <c r="D13" s="774">
        <f>C13*B13</f>
        <v>768000</v>
      </c>
    </row>
    <row r="14" spans="1:4" ht="12.75" customHeight="1" thickBot="1" x14ac:dyDescent="0.25">
      <c r="A14" s="790"/>
      <c r="B14" s="775" t="s">
        <v>864</v>
      </c>
      <c r="C14" s="776" t="s">
        <v>865</v>
      </c>
      <c r="D14" s="773" t="s">
        <v>815</v>
      </c>
    </row>
    <row r="15" spans="1:4" s="602" customFormat="1" ht="50.1" customHeight="1" thickBot="1" x14ac:dyDescent="0.25">
      <c r="A15" s="785" t="s">
        <v>873</v>
      </c>
      <c r="B15" s="788">
        <f>VLOOKUP($C$5,'Special and PRU Data'!$A$20:$CS$28,3,FALSE)</f>
        <v>0</v>
      </c>
      <c r="C15" s="778">
        <v>8000</v>
      </c>
      <c r="D15" s="774">
        <f>C15*B15</f>
        <v>0</v>
      </c>
    </row>
    <row r="16" spans="1:4" s="602" customFormat="1" ht="12.75" customHeight="1" thickBot="1" x14ac:dyDescent="0.25">
      <c r="A16" s="789"/>
      <c r="B16" s="775"/>
      <c r="C16" s="776"/>
      <c r="D16" s="773" t="s">
        <v>815</v>
      </c>
    </row>
    <row r="17" spans="1:7" s="602" customFormat="1" ht="50.1" customHeight="1" thickBot="1" x14ac:dyDescent="0.25">
      <c r="A17" s="786" t="s">
        <v>1043</v>
      </c>
      <c r="B17" s="1224" t="s">
        <v>875</v>
      </c>
      <c r="C17" s="1225"/>
      <c r="D17" s="641">
        <f>VLOOKUP($C$5,'Special and PRU Data'!$A$6:$CQ$14,90,FALSE)</f>
        <v>7031829.4220579751</v>
      </c>
    </row>
    <row r="18" spans="1:7" s="602" customFormat="1" ht="12.75" customHeight="1" thickBot="1" x14ac:dyDescent="0.25">
      <c r="A18" s="789"/>
      <c r="B18" s="775"/>
      <c r="C18" s="776"/>
      <c r="D18" s="773" t="s">
        <v>815</v>
      </c>
    </row>
    <row r="19" spans="1:7" s="602" customFormat="1" ht="50.1" customHeight="1" thickBot="1" x14ac:dyDescent="0.25">
      <c r="A19" s="786" t="s">
        <v>1044</v>
      </c>
      <c r="B19" s="1224" t="s">
        <v>875</v>
      </c>
      <c r="C19" s="1225"/>
      <c r="D19" s="641">
        <f>VLOOKUP($C$5,'Special and PRU Data'!$A$20:$CS$28,90,FALSE)</f>
        <v>663878.40680115751</v>
      </c>
    </row>
    <row r="20" spans="1:7" ht="12.75" customHeight="1" thickBot="1" x14ac:dyDescent="0.25">
      <c r="A20" s="790"/>
      <c r="B20" s="775"/>
      <c r="C20" s="776"/>
      <c r="D20" s="773" t="s">
        <v>815</v>
      </c>
    </row>
    <row r="21" spans="1:7" s="602" customFormat="1" ht="50.1" customHeight="1" thickBot="1" x14ac:dyDescent="0.25">
      <c r="A21" s="786" t="s">
        <v>866</v>
      </c>
      <c r="B21" s="1224" t="s">
        <v>875</v>
      </c>
      <c r="C21" s="1225"/>
      <c r="D21" s="774">
        <f>SUMIF('Special and PRU Data'!A:A,C5,'Special and PRU Data'!CM:CM)</f>
        <v>376295</v>
      </c>
    </row>
    <row r="22" spans="1:7" s="602" customFormat="1" ht="12.75" customHeight="1" thickBot="1" x14ac:dyDescent="0.25">
      <c r="A22" s="789"/>
      <c r="B22" s="775"/>
      <c r="C22" s="776"/>
      <c r="D22" s="773" t="s">
        <v>815</v>
      </c>
    </row>
    <row r="23" spans="1:7" s="602" customFormat="1" ht="50.1" customHeight="1" thickBot="1" x14ac:dyDescent="0.3">
      <c r="A23" s="786" t="s">
        <v>313</v>
      </c>
      <c r="B23" s="1229"/>
      <c r="C23" s="1230"/>
      <c r="D23" s="774">
        <f>SUMIF('Special and PRU Data'!A:A,C5,'Special and PRU Data'!CN:CN)</f>
        <v>80882</v>
      </c>
    </row>
    <row r="24" spans="1:7" ht="15.75" thickBot="1" x14ac:dyDescent="0.25">
      <c r="A24" s="790"/>
      <c r="B24" s="791"/>
      <c r="C24" s="792"/>
      <c r="D24" s="773" t="s">
        <v>815</v>
      </c>
    </row>
    <row r="25" spans="1:7" ht="60" customHeight="1" thickBot="1" x14ac:dyDescent="0.3">
      <c r="A25" s="787" t="s">
        <v>1042</v>
      </c>
      <c r="B25" s="771"/>
      <c r="C25" s="772"/>
      <c r="D25" s="770">
        <f>D9+D11+D13+D15+D17+D19+D21+D23</f>
        <v>14260884.828859132</v>
      </c>
    </row>
    <row r="26" spans="1:7" ht="15.75" thickBot="1" x14ac:dyDescent="0.25">
      <c r="A26" s="790"/>
      <c r="B26" s="775" t="s">
        <v>1045</v>
      </c>
      <c r="C26" s="776"/>
      <c r="D26" s="773" t="s">
        <v>815</v>
      </c>
    </row>
    <row r="27" spans="1:7" ht="60" customHeight="1" thickBot="1" x14ac:dyDescent="0.25">
      <c r="A27" s="844" t="s">
        <v>1036</v>
      </c>
      <c r="B27" s="841">
        <f>SUMIF('Special and PRU Data'!A:A,C5,'Special and PRU Data'!E:E)</f>
        <v>16</v>
      </c>
      <c r="C27" s="842" t="s">
        <v>875</v>
      </c>
      <c r="D27" s="843">
        <f>SUMIF('Special and PRU Data'!A:A,C5,'Special and PRU Data'!CR:CR)</f>
        <v>128632.74474473442</v>
      </c>
    </row>
    <row r="28" spans="1:7" ht="15.75" thickBot="1" x14ac:dyDescent="0.25">
      <c r="A28" s="845"/>
      <c r="B28" s="846"/>
      <c r="C28" s="780"/>
      <c r="D28" s="847"/>
    </row>
    <row r="29" spans="1:7" ht="15.75" thickBot="1" x14ac:dyDescent="0.25">
      <c r="A29" s="1221" t="s">
        <v>1034</v>
      </c>
      <c r="B29" s="1222"/>
      <c r="C29" s="1222"/>
      <c r="D29" s="1223"/>
      <c r="E29" s="848"/>
      <c r="F29" s="848"/>
      <c r="G29" s="848"/>
    </row>
  </sheetData>
  <sheetProtection password="EF5C" sheet="1" objects="1" scenarios="1"/>
  <mergeCells count="6">
    <mergeCell ref="A29:D29"/>
    <mergeCell ref="B21:C21"/>
    <mergeCell ref="A7:D7"/>
    <mergeCell ref="B19:C19"/>
    <mergeCell ref="B23:C23"/>
    <mergeCell ref="B17:C17"/>
  </mergeCells>
  <printOptions horizontalCentered="1"/>
  <pageMargins left="0.25" right="0.25" top="0.75" bottom="0.75" header="0.3" footer="0.3"/>
  <pageSetup paperSize="9" scale="63" orientation="portrait" r:id="rId1"/>
  <headerFooter alignWithMargins="0">
    <oddHeader>&amp;C&amp;A</oddHeader>
    <oddFooter>&amp;Z&amp;F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'Special Schools List'!$A:$A</xm:f>
          </x14:formula1>
          <xm:sqref>A3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zoomScale="80" zoomScaleNormal="80" workbookViewId="0">
      <pane xSplit="2" ySplit="6" topLeftCell="C16" activePane="bottomRight" state="frozen"/>
      <selection activeCell="B61" sqref="B61"/>
      <selection pane="topRight" activeCell="B61" sqref="B61"/>
      <selection pane="bottomLeft" activeCell="B61" sqref="B61"/>
      <selection pane="bottomRight" sqref="A1:XFD1048576"/>
    </sheetView>
  </sheetViews>
  <sheetFormatPr defaultRowHeight="12.75" x14ac:dyDescent="0.2"/>
  <cols>
    <col min="1" max="1" width="56.140625" customWidth="1"/>
    <col min="2" max="2" width="17.140625" bestFit="1" customWidth="1"/>
    <col min="3" max="3" width="13.85546875" style="182" customWidth="1"/>
    <col min="4" max="4" width="13.42578125" style="182" customWidth="1"/>
    <col min="5" max="5" width="12.42578125" customWidth="1"/>
    <col min="6" max="6" width="11.42578125" customWidth="1"/>
    <col min="7" max="7" width="15.7109375" customWidth="1"/>
  </cols>
  <sheetData>
    <row r="1" spans="1:12" ht="12.75" customHeight="1" x14ac:dyDescent="0.2">
      <c r="A1" s="9" t="s">
        <v>137</v>
      </c>
      <c r="B1" s="1250" t="s">
        <v>261</v>
      </c>
      <c r="C1" s="194"/>
      <c r="D1" s="194"/>
      <c r="E1" s="219">
        <f>932.68-76.9462</f>
        <v>855.73379999999997</v>
      </c>
      <c r="F1" s="219">
        <f>2738.7-225.9443</f>
        <v>2512.7556999999997</v>
      </c>
      <c r="G1" s="32"/>
    </row>
    <row r="2" spans="1:12" x14ac:dyDescent="0.2">
      <c r="A2" s="9" t="s">
        <v>138</v>
      </c>
      <c r="B2" s="1250"/>
      <c r="C2" s="194"/>
      <c r="D2" s="194"/>
      <c r="E2" s="32"/>
      <c r="F2" s="32"/>
      <c r="G2" s="32"/>
    </row>
    <row r="3" spans="1:12" x14ac:dyDescent="0.2">
      <c r="A3" s="9" t="s">
        <v>139</v>
      </c>
      <c r="B3" s="1250"/>
      <c r="C3" s="194"/>
      <c r="D3" s="194"/>
      <c r="E3" s="32"/>
      <c r="F3" s="32"/>
      <c r="G3" s="32"/>
    </row>
    <row r="4" spans="1:12" x14ac:dyDescent="0.2">
      <c r="A4" s="9" t="s">
        <v>140</v>
      </c>
      <c r="B4" s="1250"/>
      <c r="C4" s="194"/>
      <c r="D4" s="194"/>
      <c r="E4" s="32"/>
      <c r="F4" s="32"/>
      <c r="G4" s="32"/>
    </row>
    <row r="5" spans="1:12" x14ac:dyDescent="0.2">
      <c r="A5" s="9" t="s">
        <v>141</v>
      </c>
      <c r="B5" s="1250"/>
      <c r="C5" s="194"/>
      <c r="D5" s="194"/>
      <c r="E5" s="32"/>
      <c r="F5" s="32"/>
      <c r="G5" s="32"/>
    </row>
    <row r="6" spans="1:12" ht="76.5" x14ac:dyDescent="0.2">
      <c r="A6" s="25" t="s">
        <v>180</v>
      </c>
      <c r="B6" s="15" t="s">
        <v>142</v>
      </c>
      <c r="C6" s="237" t="s">
        <v>197</v>
      </c>
      <c r="D6" s="237" t="s">
        <v>198</v>
      </c>
      <c r="E6" s="41" t="s">
        <v>199</v>
      </c>
      <c r="F6" s="41" t="s">
        <v>200</v>
      </c>
      <c r="G6" s="41" t="s">
        <v>201</v>
      </c>
    </row>
    <row r="7" spans="1:12" x14ac:dyDescent="0.2">
      <c r="A7" s="18" t="s">
        <v>44</v>
      </c>
      <c r="B7" s="19">
        <v>2400</v>
      </c>
      <c r="C7" s="194">
        <v>47.357142857142712</v>
      </c>
      <c r="D7" s="194">
        <v>0</v>
      </c>
      <c r="E7" s="38">
        <f>E$1*C7</f>
        <v>40525.107814285591</v>
      </c>
      <c r="F7" s="38">
        <f>F$1*D7</f>
        <v>0</v>
      </c>
      <c r="G7" s="44">
        <f>F7+E7</f>
        <v>40525.107814285591</v>
      </c>
      <c r="K7" s="38"/>
      <c r="L7" s="38"/>
    </row>
    <row r="8" spans="1:12" x14ac:dyDescent="0.2">
      <c r="A8" s="18" t="s">
        <v>45</v>
      </c>
      <c r="B8" s="19">
        <v>2443</v>
      </c>
      <c r="C8" s="194">
        <v>8.7303370786516776</v>
      </c>
      <c r="D8" s="194">
        <v>0</v>
      </c>
      <c r="E8" s="38">
        <f t="shared" ref="E8:E70" si="0">E$1*C8</f>
        <v>7470.8445235954987</v>
      </c>
      <c r="F8" s="38">
        <f t="shared" ref="F8:F70" si="1">F$1*D8</f>
        <v>0</v>
      </c>
      <c r="G8" s="44">
        <f t="shared" ref="G8:G70" si="2">F8+E8</f>
        <v>7470.8445235954987</v>
      </c>
      <c r="K8" s="38"/>
      <c r="L8" s="38"/>
    </row>
    <row r="9" spans="1:12" x14ac:dyDescent="0.2">
      <c r="A9" s="18" t="s">
        <v>155</v>
      </c>
      <c r="B9" s="19">
        <v>2442</v>
      </c>
      <c r="C9" s="194">
        <v>6.7254901960784448</v>
      </c>
      <c r="D9" s="194">
        <v>0</v>
      </c>
      <c r="E9" s="38">
        <f t="shared" si="0"/>
        <v>5755.2292823529524</v>
      </c>
      <c r="F9" s="38">
        <f t="shared" si="1"/>
        <v>0</v>
      </c>
      <c r="G9" s="44">
        <f t="shared" si="2"/>
        <v>5755.2292823529524</v>
      </c>
      <c r="K9" s="38"/>
      <c r="L9" s="38"/>
    </row>
    <row r="10" spans="1:12" x14ac:dyDescent="0.2">
      <c r="A10" s="18" t="s">
        <v>47</v>
      </c>
      <c r="B10" s="19">
        <v>2629</v>
      </c>
      <c r="C10" s="194">
        <v>216.29696969696954</v>
      </c>
      <c r="D10" s="194">
        <v>0</v>
      </c>
      <c r="E10" s="38">
        <f t="shared" si="0"/>
        <v>185092.6278072726</v>
      </c>
      <c r="F10" s="38">
        <f t="shared" si="1"/>
        <v>0</v>
      </c>
      <c r="G10" s="44">
        <f t="shared" si="2"/>
        <v>185092.6278072726</v>
      </c>
      <c r="K10" s="38"/>
      <c r="L10" s="38"/>
    </row>
    <row r="11" spans="1:12" x14ac:dyDescent="0.2">
      <c r="A11" s="18" t="s">
        <v>48</v>
      </c>
      <c r="B11" s="19">
        <v>2509</v>
      </c>
      <c r="C11" s="194">
        <v>26.691358024691301</v>
      </c>
      <c r="D11" s="194">
        <v>0</v>
      </c>
      <c r="E11" s="38">
        <f t="shared" si="0"/>
        <v>22840.697229629579</v>
      </c>
      <c r="F11" s="38">
        <f t="shared" si="1"/>
        <v>0</v>
      </c>
      <c r="G11" s="44">
        <f t="shared" si="2"/>
        <v>22840.697229629579</v>
      </c>
      <c r="K11" s="38"/>
      <c r="L11" s="38"/>
    </row>
    <row r="12" spans="1:12" x14ac:dyDescent="0.2">
      <c r="A12" s="18" t="s">
        <v>49</v>
      </c>
      <c r="B12" s="19">
        <v>2005</v>
      </c>
      <c r="C12" s="194">
        <v>20.647773279352229</v>
      </c>
      <c r="D12" s="194">
        <v>0</v>
      </c>
      <c r="E12" s="38">
        <f t="shared" si="0"/>
        <v>17668.997489878544</v>
      </c>
      <c r="F12" s="38">
        <f t="shared" si="1"/>
        <v>0</v>
      </c>
      <c r="G12" s="44">
        <f t="shared" si="2"/>
        <v>17668.997489878544</v>
      </c>
      <c r="K12" s="38"/>
      <c r="L12" s="38"/>
    </row>
    <row r="13" spans="1:12" x14ac:dyDescent="0.2">
      <c r="A13" s="18" t="s">
        <v>50</v>
      </c>
      <c r="B13" s="19">
        <v>2464</v>
      </c>
      <c r="C13" s="194">
        <v>1.2000000000000006</v>
      </c>
      <c r="D13" s="194">
        <v>0</v>
      </c>
      <c r="E13" s="38">
        <f t="shared" si="0"/>
        <v>1026.8805600000005</v>
      </c>
      <c r="F13" s="38">
        <f t="shared" si="1"/>
        <v>0</v>
      </c>
      <c r="G13" s="44">
        <f t="shared" si="2"/>
        <v>1026.8805600000005</v>
      </c>
      <c r="K13" s="38"/>
      <c r="L13" s="38"/>
    </row>
    <row r="14" spans="1:12" x14ac:dyDescent="0.2">
      <c r="A14" s="18" t="s">
        <v>51</v>
      </c>
      <c r="B14" s="19">
        <v>2004</v>
      </c>
      <c r="C14" s="194">
        <v>3.6635944700460752</v>
      </c>
      <c r="D14" s="194">
        <v>0</v>
      </c>
      <c r="E14" s="38">
        <f t="shared" si="0"/>
        <v>3135.0616175115142</v>
      </c>
      <c r="F14" s="38">
        <f t="shared" si="1"/>
        <v>0</v>
      </c>
      <c r="G14" s="44">
        <f t="shared" si="2"/>
        <v>3135.0616175115142</v>
      </c>
      <c r="K14" s="38"/>
      <c r="L14" s="38"/>
    </row>
    <row r="15" spans="1:12" x14ac:dyDescent="0.2">
      <c r="A15" s="18" t="s">
        <v>52</v>
      </c>
      <c r="B15" s="19">
        <v>2405</v>
      </c>
      <c r="C15" s="194">
        <v>45.847953216374314</v>
      </c>
      <c r="D15" s="194">
        <v>0</v>
      </c>
      <c r="E15" s="38">
        <f t="shared" si="0"/>
        <v>39233.643228070214</v>
      </c>
      <c r="F15" s="38">
        <f t="shared" si="1"/>
        <v>0</v>
      </c>
      <c r="G15" s="44">
        <f t="shared" si="2"/>
        <v>39233.643228070214</v>
      </c>
      <c r="K15" s="38"/>
      <c r="L15" s="38"/>
    </row>
    <row r="16" spans="1:12" x14ac:dyDescent="0.2">
      <c r="A16" s="18" t="s">
        <v>156</v>
      </c>
      <c r="B16" s="19">
        <v>3525</v>
      </c>
      <c r="C16" s="194">
        <v>15.178770949720681</v>
      </c>
      <c r="D16" s="194">
        <v>0</v>
      </c>
      <c r="E16" s="38">
        <f t="shared" si="0"/>
        <v>12988.987344134086</v>
      </c>
      <c r="F16" s="38">
        <f t="shared" si="1"/>
        <v>0</v>
      </c>
      <c r="G16" s="44">
        <f t="shared" si="2"/>
        <v>12988.987344134086</v>
      </c>
      <c r="K16" s="38"/>
      <c r="L16" s="38"/>
    </row>
    <row r="17" spans="1:12" x14ac:dyDescent="0.2">
      <c r="A17" s="18" t="s">
        <v>54</v>
      </c>
      <c r="B17" s="19">
        <v>5201</v>
      </c>
      <c r="C17" s="194">
        <v>0</v>
      </c>
      <c r="D17" s="194">
        <v>0</v>
      </c>
      <c r="E17" s="38">
        <f t="shared" si="0"/>
        <v>0</v>
      </c>
      <c r="F17" s="38">
        <f t="shared" si="1"/>
        <v>0</v>
      </c>
      <c r="G17" s="44">
        <f t="shared" si="2"/>
        <v>0</v>
      </c>
      <c r="K17" s="38"/>
      <c r="L17" s="38"/>
    </row>
    <row r="18" spans="1:12" x14ac:dyDescent="0.2">
      <c r="A18" s="18" t="s">
        <v>157</v>
      </c>
      <c r="B18" s="19">
        <v>2007</v>
      </c>
      <c r="C18" s="194">
        <v>40.394495412844144</v>
      </c>
      <c r="D18" s="194">
        <v>0</v>
      </c>
      <c r="E18" s="38">
        <f t="shared" si="0"/>
        <v>34566.935058715688</v>
      </c>
      <c r="F18" s="38">
        <f t="shared" si="1"/>
        <v>0</v>
      </c>
      <c r="G18" s="44">
        <f t="shared" si="2"/>
        <v>34566.935058715688</v>
      </c>
      <c r="K18" s="38"/>
      <c r="L18" s="38"/>
    </row>
    <row r="19" spans="1:12" x14ac:dyDescent="0.2">
      <c r="A19" s="18" t="s">
        <v>56</v>
      </c>
      <c r="B19" s="19">
        <v>2433</v>
      </c>
      <c r="C19" s="194">
        <v>13.307086614173235</v>
      </c>
      <c r="D19" s="194">
        <v>0</v>
      </c>
      <c r="E19" s="38">
        <f t="shared" si="0"/>
        <v>11387.323795275595</v>
      </c>
      <c r="F19" s="38">
        <f t="shared" si="1"/>
        <v>0</v>
      </c>
      <c r="G19" s="44">
        <f t="shared" si="2"/>
        <v>11387.323795275595</v>
      </c>
      <c r="K19" s="38"/>
      <c r="L19" s="38"/>
    </row>
    <row r="20" spans="1:12" x14ac:dyDescent="0.2">
      <c r="A20" s="18" t="s">
        <v>57</v>
      </c>
      <c r="B20" s="19">
        <v>2432</v>
      </c>
      <c r="C20" s="194">
        <v>0.86147186147186161</v>
      </c>
      <c r="D20" s="194">
        <v>0</v>
      </c>
      <c r="E20" s="38">
        <f t="shared" si="0"/>
        <v>737.19058961038968</v>
      </c>
      <c r="F20" s="38">
        <f t="shared" si="1"/>
        <v>0</v>
      </c>
      <c r="G20" s="44">
        <f t="shared" si="2"/>
        <v>737.19058961038968</v>
      </c>
      <c r="K20" s="38"/>
      <c r="L20" s="38"/>
    </row>
    <row r="21" spans="1:12" x14ac:dyDescent="0.2">
      <c r="A21" s="18" t="s">
        <v>59</v>
      </c>
      <c r="B21" s="19">
        <v>2447</v>
      </c>
      <c r="C21" s="194">
        <v>24.973684210526311</v>
      </c>
      <c r="D21" s="194">
        <v>0</v>
      </c>
      <c r="E21" s="38">
        <f t="shared" si="0"/>
        <v>21370.825689473681</v>
      </c>
      <c r="F21" s="38">
        <f t="shared" si="1"/>
        <v>0</v>
      </c>
      <c r="G21" s="44">
        <f t="shared" si="2"/>
        <v>21370.825689473681</v>
      </c>
      <c r="I21" s="182"/>
      <c r="J21" s="182"/>
      <c r="K21" s="182"/>
      <c r="L21" s="182"/>
    </row>
    <row r="22" spans="1:12" x14ac:dyDescent="0.2">
      <c r="A22" s="18" t="s">
        <v>60</v>
      </c>
      <c r="B22" s="19">
        <v>2512</v>
      </c>
      <c r="C22" s="194">
        <v>24.402234636871519</v>
      </c>
      <c r="D22" s="194">
        <v>0</v>
      </c>
      <c r="E22" s="38">
        <f t="shared" si="0"/>
        <v>20881.816974301684</v>
      </c>
      <c r="F22" s="38">
        <f t="shared" si="1"/>
        <v>0</v>
      </c>
      <c r="G22" s="44">
        <f t="shared" si="2"/>
        <v>20881.816974301684</v>
      </c>
      <c r="K22" s="38"/>
      <c r="L22" s="38"/>
    </row>
    <row r="23" spans="1:12" x14ac:dyDescent="0.2">
      <c r="A23" s="18" t="s">
        <v>61</v>
      </c>
      <c r="B23" s="19">
        <v>2456</v>
      </c>
      <c r="C23" s="194">
        <v>33.186440677966154</v>
      </c>
      <c r="D23" s="194">
        <v>0</v>
      </c>
      <c r="E23" s="38">
        <f t="shared" si="0"/>
        <v>28398.758989830552</v>
      </c>
      <c r="F23" s="38">
        <f t="shared" si="1"/>
        <v>0</v>
      </c>
      <c r="G23" s="44">
        <f t="shared" si="2"/>
        <v>28398.758989830552</v>
      </c>
      <c r="K23" s="38"/>
      <c r="L23" s="38"/>
    </row>
    <row r="24" spans="1:12" x14ac:dyDescent="0.2">
      <c r="A24" s="18" t="s">
        <v>62</v>
      </c>
      <c r="B24" s="19">
        <v>2449</v>
      </c>
      <c r="C24" s="194">
        <v>6.0224719101123725</v>
      </c>
      <c r="D24" s="194">
        <v>0</v>
      </c>
      <c r="E24" s="38">
        <f t="shared" si="0"/>
        <v>5153.6327730337189</v>
      </c>
      <c r="F24" s="38">
        <f t="shared" si="1"/>
        <v>0</v>
      </c>
      <c r="G24" s="44">
        <f t="shared" si="2"/>
        <v>5153.6327730337189</v>
      </c>
      <c r="K24" s="38"/>
      <c r="L24" s="38"/>
    </row>
    <row r="25" spans="1:12" x14ac:dyDescent="0.2">
      <c r="A25" s="18" t="s">
        <v>63</v>
      </c>
      <c r="B25" s="19">
        <v>2448</v>
      </c>
      <c r="C25" s="194">
        <v>7.0225806451612831</v>
      </c>
      <c r="D25" s="194">
        <v>0</v>
      </c>
      <c r="E25" s="38">
        <f t="shared" si="0"/>
        <v>6009.4596212903161</v>
      </c>
      <c r="F25" s="38">
        <f t="shared" si="1"/>
        <v>0</v>
      </c>
      <c r="G25" s="44">
        <f t="shared" si="2"/>
        <v>6009.4596212903161</v>
      </c>
      <c r="K25" s="38"/>
      <c r="L25" s="38"/>
    </row>
    <row r="26" spans="1:12" x14ac:dyDescent="0.2">
      <c r="A26" s="18" t="s">
        <v>193</v>
      </c>
      <c r="B26" s="19">
        <v>2467</v>
      </c>
      <c r="C26" s="194">
        <v>7.0749185667752528</v>
      </c>
      <c r="D26" s="194">
        <v>0</v>
      </c>
      <c r="E26" s="38">
        <f t="shared" si="0"/>
        <v>6054.2469498371402</v>
      </c>
      <c r="F26" s="38">
        <f t="shared" si="1"/>
        <v>0</v>
      </c>
      <c r="G26" s="44">
        <f t="shared" si="2"/>
        <v>6054.2469498371402</v>
      </c>
      <c r="K26" s="38"/>
      <c r="L26" s="38"/>
    </row>
    <row r="27" spans="1:12" x14ac:dyDescent="0.2">
      <c r="A27" s="18" t="s">
        <v>65</v>
      </c>
      <c r="B27" s="19">
        <v>2455</v>
      </c>
      <c r="C27" s="194">
        <v>17.75</v>
      </c>
      <c r="D27" s="194">
        <v>0</v>
      </c>
      <c r="E27" s="38">
        <f t="shared" si="0"/>
        <v>15189.274949999999</v>
      </c>
      <c r="F27" s="38">
        <f t="shared" si="1"/>
        <v>0</v>
      </c>
      <c r="G27" s="44">
        <f t="shared" si="2"/>
        <v>15189.274949999999</v>
      </c>
      <c r="K27" s="38"/>
      <c r="L27" s="38"/>
    </row>
    <row r="28" spans="1:12" x14ac:dyDescent="0.2">
      <c r="A28" s="18" t="s">
        <v>66</v>
      </c>
      <c r="B28" s="19">
        <v>5203</v>
      </c>
      <c r="C28" s="194">
        <v>3.0508474576271185</v>
      </c>
      <c r="D28" s="194">
        <v>0</v>
      </c>
      <c r="E28" s="38">
        <f t="shared" si="0"/>
        <v>2610.7132881355928</v>
      </c>
      <c r="F28" s="38">
        <f t="shared" si="1"/>
        <v>0</v>
      </c>
      <c r="G28" s="44">
        <f t="shared" si="2"/>
        <v>2610.7132881355928</v>
      </c>
      <c r="K28" s="38"/>
      <c r="L28" s="38"/>
    </row>
    <row r="29" spans="1:12" x14ac:dyDescent="0.2">
      <c r="A29" s="18" t="s">
        <v>67</v>
      </c>
      <c r="B29" s="19">
        <v>2451</v>
      </c>
      <c r="C29" s="194">
        <v>4.9270833333333499</v>
      </c>
      <c r="D29" s="194">
        <v>0</v>
      </c>
      <c r="E29" s="38">
        <f t="shared" si="0"/>
        <v>4216.2717437500141</v>
      </c>
      <c r="F29" s="38">
        <f t="shared" si="1"/>
        <v>0</v>
      </c>
      <c r="G29" s="44">
        <f t="shared" si="2"/>
        <v>4216.2717437500141</v>
      </c>
      <c r="K29" s="38"/>
      <c r="L29" s="38"/>
    </row>
    <row r="30" spans="1:12" x14ac:dyDescent="0.2">
      <c r="A30" s="18" t="s">
        <v>68</v>
      </c>
      <c r="B30" s="19">
        <v>2409</v>
      </c>
      <c r="C30" s="194">
        <v>199.19873150105704</v>
      </c>
      <c r="D30" s="194">
        <v>0</v>
      </c>
      <c r="E30" s="38">
        <f t="shared" si="0"/>
        <v>170461.08746257925</v>
      </c>
      <c r="F30" s="38">
        <f t="shared" si="1"/>
        <v>0</v>
      </c>
      <c r="G30" s="44">
        <f t="shared" si="2"/>
        <v>170461.08746257925</v>
      </c>
      <c r="K30" s="38"/>
      <c r="L30" s="38"/>
    </row>
    <row r="31" spans="1:12" x14ac:dyDescent="0.2">
      <c r="A31" s="18" t="s">
        <v>159</v>
      </c>
      <c r="B31" s="19">
        <v>3158</v>
      </c>
      <c r="C31" s="194">
        <v>98.766233766233753</v>
      </c>
      <c r="D31" s="194">
        <v>0</v>
      </c>
      <c r="E31" s="38">
        <f t="shared" si="0"/>
        <v>84517.604532467521</v>
      </c>
      <c r="F31" s="38">
        <f t="shared" si="1"/>
        <v>0</v>
      </c>
      <c r="G31" s="44">
        <f t="shared" si="2"/>
        <v>84517.604532467521</v>
      </c>
      <c r="K31" s="38"/>
      <c r="L31" s="38"/>
    </row>
    <row r="32" spans="1:12" x14ac:dyDescent="0.2">
      <c r="A32" s="18" t="s">
        <v>69</v>
      </c>
      <c r="B32" s="19">
        <v>2619</v>
      </c>
      <c r="C32" s="194">
        <v>14.047058823529403</v>
      </c>
      <c r="D32" s="194">
        <v>0</v>
      </c>
      <c r="E32" s="38">
        <f t="shared" si="0"/>
        <v>12020.543025882345</v>
      </c>
      <c r="F32" s="38">
        <f t="shared" si="1"/>
        <v>0</v>
      </c>
      <c r="G32" s="44">
        <f t="shared" si="2"/>
        <v>12020.543025882345</v>
      </c>
      <c r="K32" s="38"/>
      <c r="L32" s="38"/>
    </row>
    <row r="33" spans="1:12" x14ac:dyDescent="0.2">
      <c r="A33" s="18" t="s">
        <v>70</v>
      </c>
      <c r="B33" s="19">
        <v>2518</v>
      </c>
      <c r="C33" s="194">
        <v>123.85020242914982</v>
      </c>
      <c r="D33" s="194">
        <v>0</v>
      </c>
      <c r="E33" s="38">
        <f t="shared" si="0"/>
        <v>105982.8043554656</v>
      </c>
      <c r="F33" s="38">
        <f t="shared" si="1"/>
        <v>0</v>
      </c>
      <c r="G33" s="44">
        <f t="shared" si="2"/>
        <v>105982.8043554656</v>
      </c>
      <c r="K33" s="38"/>
      <c r="L33" s="38"/>
    </row>
    <row r="34" spans="1:12" x14ac:dyDescent="0.2">
      <c r="A34" s="18" t="s">
        <v>71</v>
      </c>
      <c r="B34" s="19">
        <v>2457</v>
      </c>
      <c r="C34" s="194">
        <v>26.999999999999993</v>
      </c>
      <c r="D34" s="194">
        <v>0</v>
      </c>
      <c r="E34" s="38">
        <f t="shared" si="0"/>
        <v>23104.812599999994</v>
      </c>
      <c r="F34" s="38">
        <f t="shared" si="1"/>
        <v>0</v>
      </c>
      <c r="G34" s="44">
        <f t="shared" si="2"/>
        <v>23104.812599999994</v>
      </c>
      <c r="K34" s="38"/>
      <c r="L34" s="38"/>
    </row>
    <row r="35" spans="1:12" x14ac:dyDescent="0.2">
      <c r="A35" s="18" t="s">
        <v>160</v>
      </c>
      <c r="B35" s="220">
        <v>2010</v>
      </c>
      <c r="C35" s="194">
        <v>28.417177914110432</v>
      </c>
      <c r="D35" s="194">
        <v>0</v>
      </c>
      <c r="E35" s="38">
        <f t="shared" si="0"/>
        <v>24317.539641717794</v>
      </c>
      <c r="F35" s="38">
        <f t="shared" si="1"/>
        <v>0</v>
      </c>
      <c r="G35" s="44">
        <f t="shared" si="2"/>
        <v>24317.539641717794</v>
      </c>
      <c r="K35" s="38"/>
      <c r="L35" s="38"/>
    </row>
    <row r="36" spans="1:12" x14ac:dyDescent="0.2">
      <c r="A36" s="18" t="s">
        <v>73</v>
      </c>
      <c r="B36" s="19">
        <v>2002</v>
      </c>
      <c r="C36" s="194">
        <v>11.639344262295081</v>
      </c>
      <c r="D36" s="194">
        <v>0</v>
      </c>
      <c r="E36" s="38">
        <f t="shared" si="0"/>
        <v>9960.1802950819656</v>
      </c>
      <c r="F36" s="38">
        <f t="shared" si="1"/>
        <v>0</v>
      </c>
      <c r="G36" s="44">
        <f t="shared" si="2"/>
        <v>9960.1802950819656</v>
      </c>
      <c r="K36" s="38"/>
      <c r="L36" s="38"/>
    </row>
    <row r="37" spans="1:12" x14ac:dyDescent="0.2">
      <c r="A37" s="18" t="s">
        <v>74</v>
      </c>
      <c r="B37" s="19">
        <v>3544</v>
      </c>
      <c r="C37" s="194">
        <v>241.82029598308648</v>
      </c>
      <c r="D37" s="194">
        <v>0</v>
      </c>
      <c r="E37" s="38">
        <f t="shared" si="0"/>
        <v>206933.80079873133</v>
      </c>
      <c r="F37" s="38">
        <f t="shared" si="1"/>
        <v>0</v>
      </c>
      <c r="G37" s="44">
        <f t="shared" si="2"/>
        <v>206933.80079873133</v>
      </c>
      <c r="K37" s="38"/>
      <c r="L37" s="38"/>
    </row>
    <row r="38" spans="1:12" x14ac:dyDescent="0.2">
      <c r="A38" s="18" t="s">
        <v>161</v>
      </c>
      <c r="B38" s="19">
        <v>2006</v>
      </c>
      <c r="C38" s="194">
        <v>7.4170854271356728</v>
      </c>
      <c r="D38" s="194">
        <v>0</v>
      </c>
      <c r="E38" s="38">
        <f t="shared" si="0"/>
        <v>6347.0506974874324</v>
      </c>
      <c r="F38" s="38">
        <f t="shared" si="1"/>
        <v>0</v>
      </c>
      <c r="G38" s="44">
        <f t="shared" si="2"/>
        <v>6347.0506974874324</v>
      </c>
      <c r="K38" s="38"/>
      <c r="L38" s="38"/>
    </row>
    <row r="39" spans="1:12" x14ac:dyDescent="0.2">
      <c r="A39" s="18" t="s">
        <v>76</v>
      </c>
      <c r="B39" s="19">
        <v>2434</v>
      </c>
      <c r="C39" s="194">
        <v>17.142045454545467</v>
      </c>
      <c r="D39" s="194">
        <v>0</v>
      </c>
      <c r="E39" s="38">
        <f t="shared" si="0"/>
        <v>14669.02769659092</v>
      </c>
      <c r="F39" s="38">
        <f t="shared" si="1"/>
        <v>0</v>
      </c>
      <c r="G39" s="44">
        <f t="shared" si="2"/>
        <v>14669.02769659092</v>
      </c>
      <c r="K39" s="38"/>
      <c r="L39" s="38"/>
    </row>
    <row r="40" spans="1:12" x14ac:dyDescent="0.2">
      <c r="A40" s="18" t="s">
        <v>77</v>
      </c>
      <c r="B40" s="19">
        <v>2522</v>
      </c>
      <c r="C40" s="194">
        <v>10.357541899441351</v>
      </c>
      <c r="D40" s="194">
        <v>0</v>
      </c>
      <c r="E40" s="38">
        <f t="shared" si="0"/>
        <v>8863.2986882681653</v>
      </c>
      <c r="F40" s="38">
        <f t="shared" si="1"/>
        <v>0</v>
      </c>
      <c r="G40" s="44">
        <f t="shared" si="2"/>
        <v>8863.2986882681653</v>
      </c>
      <c r="K40" s="38"/>
      <c r="L40" s="38"/>
    </row>
    <row r="41" spans="1:12" x14ac:dyDescent="0.2">
      <c r="A41" s="18" t="s">
        <v>78</v>
      </c>
      <c r="B41" s="19">
        <v>2436</v>
      </c>
      <c r="C41" s="194">
        <v>6.0795454545454417</v>
      </c>
      <c r="D41" s="194">
        <v>0</v>
      </c>
      <c r="E41" s="38">
        <f t="shared" si="0"/>
        <v>5202.4725340908981</v>
      </c>
      <c r="F41" s="38">
        <f t="shared" si="1"/>
        <v>0</v>
      </c>
      <c r="G41" s="44">
        <f t="shared" si="2"/>
        <v>5202.4725340908981</v>
      </c>
      <c r="K41" s="38"/>
      <c r="L41" s="38"/>
    </row>
    <row r="42" spans="1:12" x14ac:dyDescent="0.2">
      <c r="A42" s="18" t="s">
        <v>79</v>
      </c>
      <c r="B42" s="19">
        <v>2452</v>
      </c>
      <c r="C42" s="194">
        <v>6.938547486033519</v>
      </c>
      <c r="D42" s="194">
        <v>0</v>
      </c>
      <c r="E42" s="38">
        <f t="shared" si="0"/>
        <v>5937.5496067039103</v>
      </c>
      <c r="F42" s="38">
        <f t="shared" si="1"/>
        <v>0</v>
      </c>
      <c r="G42" s="44">
        <f t="shared" si="2"/>
        <v>5937.5496067039103</v>
      </c>
      <c r="K42" s="38"/>
      <c r="L42" s="38"/>
    </row>
    <row r="43" spans="1:12" x14ac:dyDescent="0.2">
      <c r="A43" s="18" t="s">
        <v>80</v>
      </c>
      <c r="B43" s="19">
        <v>2627</v>
      </c>
      <c r="C43" s="194">
        <v>30.477341389728103</v>
      </c>
      <c r="D43" s="194">
        <v>0</v>
      </c>
      <c r="E43" s="38">
        <f t="shared" si="0"/>
        <v>26080.491161329312</v>
      </c>
      <c r="F43" s="38">
        <f t="shared" si="1"/>
        <v>0</v>
      </c>
      <c r="G43" s="44">
        <f t="shared" si="2"/>
        <v>26080.491161329312</v>
      </c>
      <c r="K43" s="38"/>
      <c r="L43" s="38"/>
    </row>
    <row r="44" spans="1:12" x14ac:dyDescent="0.2">
      <c r="A44" s="18" t="s">
        <v>81</v>
      </c>
      <c r="B44" s="19">
        <v>2009</v>
      </c>
      <c r="C44" s="194">
        <v>11.342465753424657</v>
      </c>
      <c r="D44" s="194">
        <v>0</v>
      </c>
      <c r="E44" s="38">
        <f t="shared" si="0"/>
        <v>9706.1313205479437</v>
      </c>
      <c r="F44" s="38">
        <f t="shared" si="1"/>
        <v>0</v>
      </c>
      <c r="G44" s="44">
        <f t="shared" si="2"/>
        <v>9706.1313205479437</v>
      </c>
      <c r="K44" s="38"/>
      <c r="L44" s="38"/>
    </row>
    <row r="45" spans="1:12" x14ac:dyDescent="0.2">
      <c r="A45" s="18" t="s">
        <v>162</v>
      </c>
      <c r="B45" s="19">
        <v>2473</v>
      </c>
      <c r="C45" s="194">
        <v>9.0508474576271283</v>
      </c>
      <c r="D45" s="194">
        <v>0</v>
      </c>
      <c r="E45" s="38">
        <f t="shared" si="0"/>
        <v>7745.1160881356009</v>
      </c>
      <c r="F45" s="38">
        <f t="shared" si="1"/>
        <v>0</v>
      </c>
      <c r="G45" s="44">
        <f t="shared" si="2"/>
        <v>7745.1160881356009</v>
      </c>
      <c r="K45" s="38"/>
      <c r="L45" s="38"/>
    </row>
    <row r="46" spans="1:12" x14ac:dyDescent="0.2">
      <c r="A46" s="18" t="s">
        <v>84</v>
      </c>
      <c r="B46" s="19">
        <v>2471</v>
      </c>
      <c r="C46" s="194">
        <v>9.9999999999999858</v>
      </c>
      <c r="D46" s="194">
        <v>0</v>
      </c>
      <c r="E46" s="38">
        <f t="shared" si="0"/>
        <v>8557.337999999987</v>
      </c>
      <c r="F46" s="38">
        <f t="shared" si="1"/>
        <v>0</v>
      </c>
      <c r="G46" s="44">
        <f t="shared" si="2"/>
        <v>8557.337999999987</v>
      </c>
      <c r="K46" s="38"/>
      <c r="L46" s="38"/>
    </row>
    <row r="47" spans="1:12" x14ac:dyDescent="0.2">
      <c r="A47" s="18" t="s">
        <v>82</v>
      </c>
      <c r="B47" s="19">
        <v>2420</v>
      </c>
      <c r="C47" s="194">
        <v>133.90052356020939</v>
      </c>
      <c r="D47" s="194">
        <v>0</v>
      </c>
      <c r="E47" s="38">
        <f t="shared" si="0"/>
        <v>114583.20384816751</v>
      </c>
      <c r="F47" s="38">
        <f t="shared" si="1"/>
        <v>0</v>
      </c>
      <c r="G47" s="44">
        <f t="shared" si="2"/>
        <v>114583.20384816751</v>
      </c>
      <c r="K47" s="38"/>
      <c r="L47" s="38"/>
    </row>
    <row r="48" spans="1:12" x14ac:dyDescent="0.2">
      <c r="A48" s="18" t="s">
        <v>85</v>
      </c>
      <c r="B48" s="19">
        <v>2003</v>
      </c>
      <c r="C48" s="194">
        <v>4.6741573033707962</v>
      </c>
      <c r="D48" s="194">
        <v>0</v>
      </c>
      <c r="E48" s="38">
        <f t="shared" si="0"/>
        <v>3999.834391011244</v>
      </c>
      <c r="F48" s="38">
        <f t="shared" si="1"/>
        <v>0</v>
      </c>
      <c r="G48" s="44">
        <f t="shared" si="2"/>
        <v>3999.834391011244</v>
      </c>
      <c r="K48" s="38"/>
      <c r="L48" s="38"/>
    </row>
    <row r="49" spans="1:12" x14ac:dyDescent="0.2">
      <c r="A49" s="18" t="s">
        <v>86</v>
      </c>
      <c r="B49" s="19">
        <v>2423</v>
      </c>
      <c r="C49" s="194">
        <v>145.99999999999989</v>
      </c>
      <c r="D49" s="194">
        <v>0</v>
      </c>
      <c r="E49" s="38">
        <f t="shared" si="0"/>
        <v>124937.1347999999</v>
      </c>
      <c r="F49" s="38">
        <f t="shared" si="1"/>
        <v>0</v>
      </c>
      <c r="G49" s="44">
        <f t="shared" si="2"/>
        <v>124937.1347999999</v>
      </c>
      <c r="K49" s="38"/>
      <c r="L49" s="38"/>
    </row>
    <row r="50" spans="1:12" x14ac:dyDescent="0.2">
      <c r="A50" s="18" t="s">
        <v>87</v>
      </c>
      <c r="B50" s="19">
        <v>2424</v>
      </c>
      <c r="C50" s="194">
        <v>182.52542372881368</v>
      </c>
      <c r="D50" s="194">
        <v>0</v>
      </c>
      <c r="E50" s="38">
        <f t="shared" si="0"/>
        <v>156193.1744440679</v>
      </c>
      <c r="F50" s="38">
        <f t="shared" si="1"/>
        <v>0</v>
      </c>
      <c r="G50" s="44">
        <f t="shared" si="2"/>
        <v>156193.1744440679</v>
      </c>
      <c r="K50" s="38"/>
      <c r="L50" s="38"/>
    </row>
    <row r="51" spans="1:12" x14ac:dyDescent="0.2">
      <c r="A51" s="18" t="s">
        <v>88</v>
      </c>
      <c r="B51" s="19">
        <v>2439</v>
      </c>
      <c r="C51" s="194">
        <v>10.522012578616351</v>
      </c>
      <c r="D51" s="194">
        <v>0</v>
      </c>
      <c r="E51" s="38">
        <f t="shared" si="0"/>
        <v>9004.041807547168</v>
      </c>
      <c r="F51" s="38">
        <f t="shared" si="1"/>
        <v>0</v>
      </c>
      <c r="G51" s="44">
        <f t="shared" si="2"/>
        <v>9004.041807547168</v>
      </c>
      <c r="K51" s="38"/>
      <c r="L51" s="38"/>
    </row>
    <row r="52" spans="1:12" x14ac:dyDescent="0.2">
      <c r="A52" s="18" t="s">
        <v>89</v>
      </c>
      <c r="B52" s="19">
        <v>2440</v>
      </c>
      <c r="C52" s="194">
        <v>3.0000000000000107</v>
      </c>
      <c r="D52" s="194">
        <v>0</v>
      </c>
      <c r="E52" s="38">
        <f t="shared" si="0"/>
        <v>2567.201400000009</v>
      </c>
      <c r="F52" s="38">
        <f t="shared" si="1"/>
        <v>0</v>
      </c>
      <c r="G52" s="44">
        <f t="shared" si="2"/>
        <v>2567.201400000009</v>
      </c>
      <c r="K52" s="38"/>
      <c r="L52" s="38"/>
    </row>
    <row r="53" spans="1:12" x14ac:dyDescent="0.2">
      <c r="A53" s="18" t="s">
        <v>163</v>
      </c>
      <c r="B53" s="19">
        <v>2462</v>
      </c>
      <c r="C53" s="194">
        <v>17.875</v>
      </c>
      <c r="D53" s="194">
        <v>0</v>
      </c>
      <c r="E53" s="38">
        <f t="shared" si="0"/>
        <v>15296.241674999999</v>
      </c>
      <c r="F53" s="38">
        <f t="shared" si="1"/>
        <v>0</v>
      </c>
      <c r="G53" s="44">
        <f t="shared" si="2"/>
        <v>15296.241674999999</v>
      </c>
      <c r="K53" s="38"/>
      <c r="L53" s="38"/>
    </row>
    <row r="54" spans="1:12" x14ac:dyDescent="0.2">
      <c r="A54" s="18" t="s">
        <v>91</v>
      </c>
      <c r="B54" s="19">
        <v>2463</v>
      </c>
      <c r="C54" s="194">
        <v>18.000000000000004</v>
      </c>
      <c r="D54" s="194">
        <v>0</v>
      </c>
      <c r="E54" s="38">
        <f t="shared" si="0"/>
        <v>15403.208400000003</v>
      </c>
      <c r="F54" s="38">
        <f t="shared" si="1"/>
        <v>0</v>
      </c>
      <c r="G54" s="44">
        <f t="shared" si="2"/>
        <v>15403.208400000003</v>
      </c>
      <c r="K54" s="38"/>
      <c r="L54" s="38"/>
    </row>
    <row r="55" spans="1:12" x14ac:dyDescent="0.2">
      <c r="A55" s="18" t="s">
        <v>92</v>
      </c>
      <c r="B55" s="19">
        <v>2505</v>
      </c>
      <c r="C55" s="194">
        <v>79.095238095238273</v>
      </c>
      <c r="D55" s="194">
        <v>0</v>
      </c>
      <c r="E55" s="38">
        <f t="shared" si="0"/>
        <v>67684.468657143007</v>
      </c>
      <c r="F55" s="38">
        <f t="shared" si="1"/>
        <v>0</v>
      </c>
      <c r="G55" s="44">
        <f t="shared" si="2"/>
        <v>67684.468657143007</v>
      </c>
      <c r="K55" s="38"/>
      <c r="L55" s="38"/>
    </row>
    <row r="56" spans="1:12" x14ac:dyDescent="0.2">
      <c r="A56" s="18" t="s">
        <v>93</v>
      </c>
      <c r="B56" s="19">
        <v>2000</v>
      </c>
      <c r="C56" s="194">
        <v>19.090909090909097</v>
      </c>
      <c r="D56" s="194">
        <v>0</v>
      </c>
      <c r="E56" s="38">
        <f t="shared" si="0"/>
        <v>16336.736181818187</v>
      </c>
      <c r="F56" s="38">
        <f t="shared" si="1"/>
        <v>0</v>
      </c>
      <c r="G56" s="44">
        <f t="shared" si="2"/>
        <v>16336.736181818187</v>
      </c>
      <c r="K56" s="38"/>
      <c r="L56" s="38"/>
    </row>
    <row r="57" spans="1:12" x14ac:dyDescent="0.2">
      <c r="A57" s="18" t="s">
        <v>94</v>
      </c>
      <c r="B57" s="19">
        <v>2458</v>
      </c>
      <c r="C57" s="194">
        <v>121.5</v>
      </c>
      <c r="D57" s="194">
        <v>0</v>
      </c>
      <c r="E57" s="38">
        <f t="shared" si="0"/>
        <v>103971.65669999999</v>
      </c>
      <c r="F57" s="38">
        <f t="shared" si="1"/>
        <v>0</v>
      </c>
      <c r="G57" s="44">
        <f t="shared" si="2"/>
        <v>103971.65669999999</v>
      </c>
      <c r="K57" s="38"/>
      <c r="L57" s="38"/>
    </row>
    <row r="58" spans="1:12" x14ac:dyDescent="0.2">
      <c r="A58" s="18" t="s">
        <v>95</v>
      </c>
      <c r="B58" s="19">
        <v>2001</v>
      </c>
      <c r="C58" s="194">
        <v>23.558718861209968</v>
      </c>
      <c r="D58" s="194">
        <v>0</v>
      </c>
      <c r="E58" s="38">
        <f t="shared" si="0"/>
        <v>20159.992014234878</v>
      </c>
      <c r="F58" s="38">
        <f t="shared" si="1"/>
        <v>0</v>
      </c>
      <c r="G58" s="44">
        <f t="shared" si="2"/>
        <v>20159.992014234878</v>
      </c>
      <c r="K58" s="38"/>
      <c r="L58" s="38"/>
    </row>
    <row r="59" spans="1:12" x14ac:dyDescent="0.2">
      <c r="A59" s="18" t="s">
        <v>96</v>
      </c>
      <c r="B59" s="19">
        <v>2429</v>
      </c>
      <c r="C59" s="194">
        <v>118.0952380952381</v>
      </c>
      <c r="D59" s="194">
        <v>0</v>
      </c>
      <c r="E59" s="38">
        <f t="shared" si="0"/>
        <v>101058.08685714286</v>
      </c>
      <c r="F59" s="38">
        <f t="shared" si="1"/>
        <v>0</v>
      </c>
      <c r="G59" s="44">
        <f t="shared" si="2"/>
        <v>101058.08685714286</v>
      </c>
      <c r="K59" s="38"/>
      <c r="L59" s="38"/>
    </row>
    <row r="60" spans="1:12" x14ac:dyDescent="0.2">
      <c r="A60" s="18" t="s">
        <v>97</v>
      </c>
      <c r="B60" s="19">
        <v>2444</v>
      </c>
      <c r="C60" s="194">
        <v>13.435714285714287</v>
      </c>
      <c r="D60" s="194">
        <v>0</v>
      </c>
      <c r="E60" s="38">
        <f t="shared" si="0"/>
        <v>11497.394841428571</v>
      </c>
      <c r="F60" s="38">
        <f t="shared" si="1"/>
        <v>0</v>
      </c>
      <c r="G60" s="44">
        <f t="shared" si="2"/>
        <v>11497.394841428571</v>
      </c>
      <c r="K60" s="38"/>
      <c r="L60" s="38"/>
    </row>
    <row r="61" spans="1:12" x14ac:dyDescent="0.2">
      <c r="A61" s="18" t="s">
        <v>98</v>
      </c>
      <c r="B61" s="19">
        <v>5209</v>
      </c>
      <c r="C61" s="194">
        <v>6.9999999999999929</v>
      </c>
      <c r="D61" s="194">
        <v>0</v>
      </c>
      <c r="E61" s="38">
        <f t="shared" si="0"/>
        <v>5990.1365999999935</v>
      </c>
      <c r="F61" s="38">
        <f t="shared" si="1"/>
        <v>0</v>
      </c>
      <c r="G61" s="44">
        <f t="shared" si="2"/>
        <v>5990.1365999999935</v>
      </c>
      <c r="K61" s="38"/>
      <c r="L61" s="38"/>
    </row>
    <row r="62" spans="1:12" x14ac:dyDescent="0.2">
      <c r="A62" s="18" t="s">
        <v>99</v>
      </c>
      <c r="B62" s="19">
        <v>2469</v>
      </c>
      <c r="C62" s="194">
        <v>36.181303116147312</v>
      </c>
      <c r="D62" s="194">
        <v>0</v>
      </c>
      <c r="E62" s="38">
        <f t="shared" si="0"/>
        <v>30961.564004532578</v>
      </c>
      <c r="F62" s="38">
        <f t="shared" si="1"/>
        <v>0</v>
      </c>
      <c r="G62" s="44">
        <f t="shared" si="2"/>
        <v>30961.564004532578</v>
      </c>
      <c r="K62" s="38"/>
      <c r="L62" s="38"/>
    </row>
    <row r="63" spans="1:12" x14ac:dyDescent="0.2">
      <c r="A63" s="18" t="s">
        <v>100</v>
      </c>
      <c r="B63" s="19">
        <v>2430</v>
      </c>
      <c r="C63" s="194">
        <v>32.806451612903189</v>
      </c>
      <c r="D63" s="194">
        <v>0</v>
      </c>
      <c r="E63" s="38">
        <f t="shared" si="0"/>
        <v>28073.589503225772</v>
      </c>
      <c r="F63" s="38">
        <f t="shared" si="1"/>
        <v>0</v>
      </c>
      <c r="G63" s="44">
        <f t="shared" si="2"/>
        <v>28073.589503225772</v>
      </c>
      <c r="K63" s="38"/>
      <c r="L63" s="38"/>
    </row>
    <row r="64" spans="1:12" x14ac:dyDescent="0.2">
      <c r="A64" s="18" t="s">
        <v>101</v>
      </c>
      <c r="B64" s="19">
        <v>2466</v>
      </c>
      <c r="C64" s="194">
        <v>6.6040268456375797</v>
      </c>
      <c r="D64" s="194">
        <v>0</v>
      </c>
      <c r="E64" s="38">
        <f t="shared" si="0"/>
        <v>5651.288987919459</v>
      </c>
      <c r="F64" s="38">
        <f t="shared" si="1"/>
        <v>0</v>
      </c>
      <c r="G64" s="44">
        <f t="shared" si="2"/>
        <v>5651.288987919459</v>
      </c>
      <c r="K64" s="38"/>
      <c r="L64" s="38"/>
    </row>
    <row r="65" spans="1:12" x14ac:dyDescent="0.2">
      <c r="A65" s="18" t="s">
        <v>102</v>
      </c>
      <c r="B65" s="19">
        <v>3543</v>
      </c>
      <c r="C65" s="194">
        <v>25.991935483870957</v>
      </c>
      <c r="D65" s="194">
        <v>0</v>
      </c>
      <c r="E65" s="38">
        <f t="shared" si="0"/>
        <v>22242.177720967731</v>
      </c>
      <c r="F65" s="38">
        <f t="shared" si="1"/>
        <v>0</v>
      </c>
      <c r="G65" s="44">
        <f t="shared" si="2"/>
        <v>22242.177720967731</v>
      </c>
      <c r="K65" s="38"/>
      <c r="L65" s="38"/>
    </row>
    <row r="66" spans="1:12" x14ac:dyDescent="0.2">
      <c r="A66" s="18" t="s">
        <v>104</v>
      </c>
      <c r="B66" s="19">
        <v>3531</v>
      </c>
      <c r="C66" s="194">
        <v>25.666666666666657</v>
      </c>
      <c r="D66" s="194">
        <v>0</v>
      </c>
      <c r="E66" s="38">
        <f t="shared" si="0"/>
        <v>21963.83419999999</v>
      </c>
      <c r="F66" s="38">
        <f t="shared" si="1"/>
        <v>0</v>
      </c>
      <c r="G66" s="44">
        <f t="shared" si="2"/>
        <v>21963.83419999999</v>
      </c>
      <c r="K66" s="38"/>
      <c r="L66" s="38"/>
    </row>
    <row r="67" spans="1:12" x14ac:dyDescent="0.2">
      <c r="A67" s="18" t="s">
        <v>164</v>
      </c>
      <c r="B67" s="19">
        <v>3526</v>
      </c>
      <c r="C67" s="194">
        <v>59.285714285714256</v>
      </c>
      <c r="D67" s="194">
        <v>0</v>
      </c>
      <c r="E67" s="38">
        <f t="shared" si="0"/>
        <v>50732.789571428548</v>
      </c>
      <c r="F67" s="38">
        <f t="shared" si="1"/>
        <v>0</v>
      </c>
      <c r="G67" s="44">
        <f t="shared" si="2"/>
        <v>50732.789571428548</v>
      </c>
      <c r="K67" s="38"/>
      <c r="L67" s="38"/>
    </row>
    <row r="68" spans="1:12" x14ac:dyDescent="0.2">
      <c r="A68" s="18" t="s">
        <v>165</v>
      </c>
      <c r="B68" s="19">
        <v>3535</v>
      </c>
      <c r="C68" s="194">
        <v>86.285714285714363</v>
      </c>
      <c r="D68" s="194">
        <v>0</v>
      </c>
      <c r="E68" s="38">
        <f t="shared" si="0"/>
        <v>73837.602171428633</v>
      </c>
      <c r="F68" s="38">
        <f t="shared" si="1"/>
        <v>0</v>
      </c>
      <c r="G68" s="44">
        <f t="shared" si="2"/>
        <v>73837.602171428633</v>
      </c>
      <c r="K68" s="38"/>
      <c r="L68" s="38"/>
    </row>
    <row r="69" spans="1:12" x14ac:dyDescent="0.2">
      <c r="A69" s="21" t="s">
        <v>107</v>
      </c>
      <c r="B69" s="19">
        <v>2008</v>
      </c>
      <c r="C69" s="194">
        <v>11.570680628272255</v>
      </c>
      <c r="D69" s="194">
        <v>0</v>
      </c>
      <c r="E69" s="38">
        <f t="shared" si="0"/>
        <v>9901.4225026178046</v>
      </c>
      <c r="F69" s="38">
        <f t="shared" si="1"/>
        <v>0</v>
      </c>
      <c r="G69" s="44">
        <f t="shared" si="2"/>
        <v>9901.4225026178046</v>
      </c>
      <c r="K69" s="38"/>
      <c r="L69" s="38"/>
    </row>
    <row r="70" spans="1:12" x14ac:dyDescent="0.2">
      <c r="A70" s="18" t="s">
        <v>166</v>
      </c>
      <c r="B70" s="19">
        <v>3542</v>
      </c>
      <c r="C70" s="194">
        <v>91.509803921568718</v>
      </c>
      <c r="D70" s="194">
        <v>0</v>
      </c>
      <c r="E70" s="38">
        <f t="shared" si="0"/>
        <v>78308.032247058902</v>
      </c>
      <c r="F70" s="38">
        <f t="shared" si="1"/>
        <v>0</v>
      </c>
      <c r="G70" s="44">
        <f t="shared" si="2"/>
        <v>78308.032247058902</v>
      </c>
      <c r="K70" s="38"/>
      <c r="L70" s="38"/>
    </row>
    <row r="71" spans="1:12" x14ac:dyDescent="0.2">
      <c r="A71" s="18" t="s">
        <v>167</v>
      </c>
      <c r="B71" s="19">
        <v>3528</v>
      </c>
      <c r="C71" s="194">
        <v>55.262798634812384</v>
      </c>
      <c r="D71" s="194">
        <v>0</v>
      </c>
      <c r="E71" s="38">
        <f t="shared" ref="E71:E76" si="3">E$1*C71</f>
        <v>47290.244674402813</v>
      </c>
      <c r="F71" s="38">
        <f t="shared" ref="F71:F76" si="4">F$1*D71</f>
        <v>0</v>
      </c>
      <c r="G71" s="44">
        <f t="shared" ref="G71:G76" si="5">F71+E71</f>
        <v>47290.244674402813</v>
      </c>
      <c r="K71" s="38"/>
      <c r="L71" s="38"/>
    </row>
    <row r="72" spans="1:12" x14ac:dyDescent="0.2">
      <c r="A72" s="18" t="s">
        <v>168</v>
      </c>
      <c r="B72" s="19">
        <v>3534</v>
      </c>
      <c r="C72" s="194">
        <v>28.99999999999995</v>
      </c>
      <c r="D72" s="194">
        <v>0</v>
      </c>
      <c r="E72" s="38">
        <f t="shared" si="3"/>
        <v>24816.280199999957</v>
      </c>
      <c r="F72" s="38">
        <f t="shared" si="4"/>
        <v>0</v>
      </c>
      <c r="G72" s="44">
        <f t="shared" si="5"/>
        <v>24816.280199999957</v>
      </c>
      <c r="K72" s="38"/>
      <c r="L72" s="38"/>
    </row>
    <row r="73" spans="1:12" x14ac:dyDescent="0.2">
      <c r="A73" s="18" t="s">
        <v>169</v>
      </c>
      <c r="B73" s="19">
        <v>3532</v>
      </c>
      <c r="C73" s="194">
        <v>0</v>
      </c>
      <c r="D73" s="194">
        <v>0</v>
      </c>
      <c r="E73" s="38">
        <f t="shared" si="3"/>
        <v>0</v>
      </c>
      <c r="F73" s="38">
        <f t="shared" si="4"/>
        <v>0</v>
      </c>
      <c r="G73" s="44">
        <f t="shared" si="5"/>
        <v>0</v>
      </c>
      <c r="K73" s="38"/>
      <c r="L73" s="38"/>
    </row>
    <row r="74" spans="1:12" x14ac:dyDescent="0.2">
      <c r="A74" s="18" t="s">
        <v>112</v>
      </c>
      <c r="B74" s="19">
        <v>3546</v>
      </c>
      <c r="C74" s="194">
        <v>125.12866817155761</v>
      </c>
      <c r="D74" s="194">
        <v>0</v>
      </c>
      <c r="E74" s="38">
        <f t="shared" si="3"/>
        <v>107076.83070338603</v>
      </c>
      <c r="F74" s="38">
        <f t="shared" si="4"/>
        <v>0</v>
      </c>
      <c r="G74" s="44">
        <f t="shared" si="5"/>
        <v>107076.83070338603</v>
      </c>
      <c r="K74" s="38"/>
      <c r="L74" s="38"/>
    </row>
    <row r="75" spans="1:12" x14ac:dyDescent="0.2">
      <c r="A75" s="18" t="s">
        <v>170</v>
      </c>
      <c r="B75" s="19">
        <v>3530</v>
      </c>
      <c r="C75" s="194">
        <v>7.0681818181818095</v>
      </c>
      <c r="D75" s="194">
        <v>0</v>
      </c>
      <c r="E75" s="38">
        <f t="shared" si="3"/>
        <v>6048.4820863636287</v>
      </c>
      <c r="F75" s="38">
        <f t="shared" si="4"/>
        <v>0</v>
      </c>
      <c r="G75" s="44">
        <f t="shared" si="5"/>
        <v>6048.4820863636287</v>
      </c>
      <c r="K75" s="38"/>
      <c r="L75" s="38"/>
    </row>
    <row r="76" spans="1:12" x14ac:dyDescent="0.2">
      <c r="A76" s="18" t="s">
        <v>114</v>
      </c>
      <c r="B76" s="19">
        <v>2459</v>
      </c>
      <c r="C76" s="194">
        <v>14.030211480362532</v>
      </c>
      <c r="D76" s="194">
        <v>0</v>
      </c>
      <c r="E76" s="38">
        <f t="shared" si="3"/>
        <v>12006.126184894254</v>
      </c>
      <c r="F76" s="38">
        <f t="shared" si="4"/>
        <v>0</v>
      </c>
      <c r="G76" s="44">
        <f t="shared" si="5"/>
        <v>12006.126184894254</v>
      </c>
      <c r="K76" s="38"/>
      <c r="L76" s="38"/>
    </row>
    <row r="77" spans="1:12" x14ac:dyDescent="0.2">
      <c r="A77" s="18"/>
      <c r="B77" s="19"/>
      <c r="C77" s="194"/>
      <c r="D77" s="194"/>
      <c r="E77" s="38"/>
      <c r="F77" s="38"/>
      <c r="G77" s="42"/>
      <c r="K77" s="38"/>
      <c r="L77" s="38"/>
    </row>
    <row r="78" spans="1:12" x14ac:dyDescent="0.2">
      <c r="A78" s="9" t="s">
        <v>171</v>
      </c>
      <c r="B78" s="9" t="s">
        <v>171</v>
      </c>
      <c r="C78" s="186">
        <f>SUM(C7:C76)</f>
        <v>2933.522262648562</v>
      </c>
      <c r="D78" s="186">
        <f>SUM(D7:D76)</f>
        <v>0</v>
      </c>
      <c r="E78" s="40">
        <f>SUM(E7:E76)</f>
        <v>2510314.1532008522</v>
      </c>
      <c r="F78" s="40">
        <f>SUM(F7:F76)</f>
        <v>0</v>
      </c>
      <c r="G78" s="40">
        <f>SUM(G7:G76)</f>
        <v>2510314.1532008522</v>
      </c>
      <c r="K78" s="40"/>
      <c r="L78" s="40"/>
    </row>
    <row r="79" spans="1:12" x14ac:dyDescent="0.2">
      <c r="A79" s="18"/>
      <c r="B79" s="19"/>
      <c r="C79" s="194"/>
      <c r="D79" s="194"/>
      <c r="E79" s="38"/>
      <c r="F79" s="38"/>
      <c r="G79" s="42"/>
      <c r="K79" s="38"/>
      <c r="L79" s="38"/>
    </row>
    <row r="80" spans="1:12" x14ac:dyDescent="0.2">
      <c r="A80" s="18" t="s">
        <v>127</v>
      </c>
      <c r="B80" s="19">
        <v>5402</v>
      </c>
      <c r="C80" s="194">
        <v>0</v>
      </c>
      <c r="D80" s="194">
        <v>13.078490566037734</v>
      </c>
      <c r="E80" s="38">
        <f t="shared" ref="E80" si="6">E$1*C80</f>
        <v>0</v>
      </c>
      <c r="F80" s="38">
        <f t="shared" ref="F80" si="7">F$1*D80</f>
        <v>32863.051717207542</v>
      </c>
      <c r="G80" s="44">
        <f t="shared" ref="G80:G92" si="8">F80+E80</f>
        <v>32863.051717207542</v>
      </c>
      <c r="K80" s="38"/>
      <c r="L80" s="38"/>
    </row>
    <row r="81" spans="1:12" x14ac:dyDescent="0.2">
      <c r="A81" s="18" t="s">
        <v>116</v>
      </c>
      <c r="B81" s="19">
        <v>4608</v>
      </c>
      <c r="C81" s="194">
        <v>0</v>
      </c>
      <c r="D81" s="194">
        <v>14.101083032490985</v>
      </c>
      <c r="E81" s="38">
        <f t="shared" ref="E81:E92" si="9">E$1*C81</f>
        <v>0</v>
      </c>
      <c r="F81" s="38">
        <f t="shared" ref="F81:F92" si="10">F$1*D81</f>
        <v>35432.576766065002</v>
      </c>
      <c r="G81" s="44">
        <f t="shared" si="8"/>
        <v>35432.576766065002</v>
      </c>
      <c r="K81" s="38"/>
      <c r="L81" s="38"/>
    </row>
    <row r="82" spans="1:12" x14ac:dyDescent="0.2">
      <c r="A82" s="18" t="s">
        <v>172</v>
      </c>
      <c r="B82" s="19">
        <v>4178</v>
      </c>
      <c r="C82" s="194">
        <v>0</v>
      </c>
      <c r="D82" s="194">
        <v>48.556844547563792</v>
      </c>
      <c r="E82" s="38">
        <f t="shared" si="9"/>
        <v>0</v>
      </c>
      <c r="F82" s="38">
        <f t="shared" si="10"/>
        <v>122011.48791090482</v>
      </c>
      <c r="G82" s="44">
        <f t="shared" si="8"/>
        <v>122011.48791090482</v>
      </c>
      <c r="K82" s="38"/>
      <c r="L82" s="38"/>
    </row>
    <row r="83" spans="1:12" x14ac:dyDescent="0.2">
      <c r="A83" s="18" t="s">
        <v>118</v>
      </c>
      <c r="B83" s="19">
        <v>4181</v>
      </c>
      <c r="C83" s="194">
        <v>0</v>
      </c>
      <c r="D83" s="194">
        <v>6.8965835641735946</v>
      </c>
      <c r="E83" s="38">
        <f t="shared" si="9"/>
        <v>0</v>
      </c>
      <c r="F83" s="38">
        <f t="shared" si="10"/>
        <v>17329.429661403512</v>
      </c>
      <c r="G83" s="44">
        <f t="shared" si="8"/>
        <v>17329.429661403512</v>
      </c>
      <c r="K83" s="38"/>
      <c r="L83" s="38"/>
    </row>
    <row r="84" spans="1:12" x14ac:dyDescent="0.2">
      <c r="A84" s="18" t="s">
        <v>119</v>
      </c>
      <c r="B84" s="19">
        <v>4182</v>
      </c>
      <c r="C84" s="194">
        <v>0</v>
      </c>
      <c r="D84" s="194">
        <v>32.11704462326265</v>
      </c>
      <c r="E84" s="38">
        <f t="shared" si="9"/>
        <v>0</v>
      </c>
      <c r="F84" s="38">
        <f t="shared" si="10"/>
        <v>80702.286944257561</v>
      </c>
      <c r="G84" s="44">
        <f t="shared" si="8"/>
        <v>80702.286944257561</v>
      </c>
      <c r="K84" s="38"/>
      <c r="L84" s="38"/>
    </row>
    <row r="85" spans="1:12" x14ac:dyDescent="0.2">
      <c r="A85" s="18" t="s">
        <v>120</v>
      </c>
      <c r="B85" s="221">
        <v>4001</v>
      </c>
      <c r="C85" s="194">
        <v>0</v>
      </c>
      <c r="D85" s="194">
        <v>49.064136125654478</v>
      </c>
      <c r="E85" s="38">
        <f t="shared" si="9"/>
        <v>0</v>
      </c>
      <c r="F85" s="38">
        <f t="shared" si="10"/>
        <v>123286.1877153142</v>
      </c>
      <c r="G85" s="44">
        <f t="shared" si="8"/>
        <v>123286.1877153142</v>
      </c>
      <c r="K85" s="38"/>
      <c r="L85" s="38"/>
    </row>
    <row r="86" spans="1:12" x14ac:dyDescent="0.2">
      <c r="A86" s="18" t="s">
        <v>173</v>
      </c>
      <c r="B86" s="19">
        <v>5406</v>
      </c>
      <c r="C86" s="194">
        <v>0</v>
      </c>
      <c r="D86" s="194">
        <v>28.199052132701446</v>
      </c>
      <c r="E86" s="38">
        <f t="shared" si="9"/>
        <v>0</v>
      </c>
      <c r="F86" s="38">
        <f t="shared" si="10"/>
        <v>70857.328981042709</v>
      </c>
      <c r="G86" s="44">
        <f t="shared" si="8"/>
        <v>70857.328981042709</v>
      </c>
      <c r="K86" s="38"/>
      <c r="L86" s="38"/>
    </row>
    <row r="87" spans="1:12" x14ac:dyDescent="0.2">
      <c r="A87" s="18" t="s">
        <v>174</v>
      </c>
      <c r="B87" s="19">
        <v>5407</v>
      </c>
      <c r="C87" s="194">
        <v>0</v>
      </c>
      <c r="D87" s="194">
        <v>17.999999999999968</v>
      </c>
      <c r="E87" s="38">
        <f t="shared" si="9"/>
        <v>0</v>
      </c>
      <c r="F87" s="38">
        <f t="shared" si="10"/>
        <v>45229.602599999911</v>
      </c>
      <c r="G87" s="44">
        <f t="shared" si="8"/>
        <v>45229.602599999911</v>
      </c>
      <c r="K87" s="38"/>
      <c r="L87" s="38"/>
    </row>
    <row r="88" spans="1:12" x14ac:dyDescent="0.2">
      <c r="A88" s="18" t="s">
        <v>123</v>
      </c>
      <c r="B88" s="19">
        <v>4607</v>
      </c>
      <c r="C88" s="194">
        <v>0</v>
      </c>
      <c r="D88" s="194">
        <v>40.302721088435383</v>
      </c>
      <c r="E88" s="38">
        <f t="shared" si="9"/>
        <v>0</v>
      </c>
      <c r="F88" s="38">
        <f t="shared" si="10"/>
        <v>101270.89214047621</v>
      </c>
      <c r="G88" s="44">
        <f t="shared" si="8"/>
        <v>101270.89214047621</v>
      </c>
      <c r="K88" s="38"/>
      <c r="L88" s="38"/>
    </row>
    <row r="89" spans="1:12" x14ac:dyDescent="0.2">
      <c r="A89" s="18" t="s">
        <v>124</v>
      </c>
      <c r="B89" s="221">
        <v>4002</v>
      </c>
      <c r="C89" s="194">
        <v>0</v>
      </c>
      <c r="D89" s="194">
        <v>51.000000000000007</v>
      </c>
      <c r="E89" s="38">
        <f t="shared" si="9"/>
        <v>0</v>
      </c>
      <c r="F89" s="38">
        <f t="shared" si="10"/>
        <v>128150.5407</v>
      </c>
      <c r="G89" s="44">
        <f t="shared" si="8"/>
        <v>128150.5407</v>
      </c>
      <c r="K89" s="38"/>
      <c r="L89" s="38"/>
    </row>
    <row r="90" spans="1:12" x14ac:dyDescent="0.2">
      <c r="A90" s="18" t="s">
        <v>175</v>
      </c>
      <c r="B90" s="19">
        <v>4177</v>
      </c>
      <c r="C90" s="194">
        <v>0</v>
      </c>
      <c r="D90" s="194">
        <v>125.08972267536681</v>
      </c>
      <c r="E90" s="38">
        <f t="shared" si="9"/>
        <v>0</v>
      </c>
      <c r="F90" s="38">
        <f t="shared" si="10"/>
        <v>314319.9136639472</v>
      </c>
      <c r="G90" s="44">
        <f t="shared" si="8"/>
        <v>314319.9136639472</v>
      </c>
      <c r="K90" s="38"/>
      <c r="L90" s="38"/>
    </row>
    <row r="91" spans="1:12" x14ac:dyDescent="0.2">
      <c r="A91" s="18" t="s">
        <v>126</v>
      </c>
      <c r="B91" s="19">
        <v>5412</v>
      </c>
      <c r="C91" s="194">
        <v>0</v>
      </c>
      <c r="D91" s="194">
        <v>10.016116035455276</v>
      </c>
      <c r="E91" s="38">
        <f t="shared" si="9"/>
        <v>0</v>
      </c>
      <c r="F91" s="38">
        <f t="shared" si="10"/>
        <v>25168.052659951645</v>
      </c>
      <c r="G91" s="44">
        <f t="shared" si="8"/>
        <v>25168.052659951645</v>
      </c>
      <c r="K91" s="38"/>
      <c r="L91" s="38"/>
    </row>
    <row r="92" spans="1:12" x14ac:dyDescent="0.2">
      <c r="A92" s="18" t="s">
        <v>125</v>
      </c>
      <c r="B92" s="19">
        <v>5414</v>
      </c>
      <c r="C92" s="194">
        <v>0</v>
      </c>
      <c r="D92" s="194">
        <v>22.711389961389962</v>
      </c>
      <c r="E92" s="38">
        <f t="shared" si="9"/>
        <v>0</v>
      </c>
      <c r="F92" s="38">
        <f t="shared" si="10"/>
        <v>57068.174580405401</v>
      </c>
      <c r="G92" s="44">
        <f t="shared" si="8"/>
        <v>57068.174580405401</v>
      </c>
      <c r="K92" s="38"/>
      <c r="L92" s="38"/>
    </row>
    <row r="93" spans="1:12" x14ac:dyDescent="0.2">
      <c r="A93" s="18"/>
      <c r="B93" s="19"/>
      <c r="C93" s="194"/>
      <c r="D93" s="194"/>
      <c r="E93" s="38"/>
      <c r="F93" s="38"/>
      <c r="G93" s="42"/>
      <c r="K93" s="38"/>
      <c r="L93" s="38"/>
    </row>
    <row r="94" spans="1:12" x14ac:dyDescent="0.2">
      <c r="A94" s="9" t="s">
        <v>176</v>
      </c>
      <c r="B94" s="9" t="s">
        <v>176</v>
      </c>
      <c r="C94" s="186">
        <f>SUM(C80:C92)</f>
        <v>0</v>
      </c>
      <c r="D94" s="186">
        <f>SUM(D80:D92)</f>
        <v>459.13318435253211</v>
      </c>
      <c r="E94" s="40">
        <f>SUM(E80:E92)</f>
        <v>0</v>
      </c>
      <c r="F94" s="40">
        <f>SUM(F80:F92)</f>
        <v>1153689.5260409759</v>
      </c>
      <c r="G94" s="40">
        <f t="shared" ref="G94" si="11">SUM(G80:G92)</f>
        <v>1153689.5260409759</v>
      </c>
      <c r="K94" s="40"/>
      <c r="L94" s="40"/>
    </row>
    <row r="95" spans="1:12" x14ac:dyDescent="0.2">
      <c r="A95" s="18"/>
      <c r="B95" s="19"/>
      <c r="C95" s="238"/>
      <c r="D95" s="238"/>
      <c r="E95" s="42"/>
      <c r="F95" s="42"/>
      <c r="G95" s="42"/>
      <c r="K95" s="42"/>
      <c r="L95" s="42"/>
    </row>
    <row r="96" spans="1:12" x14ac:dyDescent="0.2">
      <c r="A96" s="9" t="s">
        <v>177</v>
      </c>
      <c r="B96" s="9" t="s">
        <v>178</v>
      </c>
      <c r="C96" s="186">
        <f>C94+C78</f>
        <v>2933.522262648562</v>
      </c>
      <c r="D96" s="186">
        <f>D94+D78</f>
        <v>459.13318435253211</v>
      </c>
      <c r="E96" s="40">
        <f>E94+E78</f>
        <v>2510314.1532008522</v>
      </c>
      <c r="F96" s="40">
        <f>F94+F78</f>
        <v>1153689.5260409759</v>
      </c>
      <c r="G96" s="40">
        <f t="shared" ref="G96" si="12">G94+G78</f>
        <v>3664003.6792418282</v>
      </c>
      <c r="K96" s="40"/>
      <c r="L96" s="40"/>
    </row>
    <row r="99" spans="1:5" x14ac:dyDescent="0.2">
      <c r="A99" s="586" t="s">
        <v>867</v>
      </c>
      <c r="B99" s="646">
        <v>12345</v>
      </c>
    </row>
    <row r="100" spans="1:5" x14ac:dyDescent="0.2">
      <c r="A100" s="20" t="s">
        <v>561</v>
      </c>
      <c r="B100" s="10">
        <v>206189</v>
      </c>
      <c r="C100" s="20"/>
      <c r="D100" s="20"/>
      <c r="E100" s="20"/>
    </row>
    <row r="101" spans="1:5" x14ac:dyDescent="0.2">
      <c r="A101" s="20" t="s">
        <v>564</v>
      </c>
      <c r="B101" s="10" t="s">
        <v>565</v>
      </c>
      <c r="C101" s="20"/>
      <c r="D101" s="20"/>
      <c r="E101" s="20"/>
    </row>
    <row r="102" spans="1:5" x14ac:dyDescent="0.2">
      <c r="A102" s="20" t="s">
        <v>36</v>
      </c>
      <c r="B102" s="10">
        <v>1014</v>
      </c>
      <c r="C102" s="20"/>
      <c r="D102" s="20"/>
      <c r="E102" s="20"/>
    </row>
    <row r="103" spans="1:5" x14ac:dyDescent="0.2">
      <c r="A103" s="20" t="s">
        <v>566</v>
      </c>
      <c r="B103" s="10" t="s">
        <v>568</v>
      </c>
      <c r="C103" s="20"/>
      <c r="D103" s="20"/>
      <c r="E103" s="20"/>
    </row>
    <row r="104" spans="1:5" x14ac:dyDescent="0.2">
      <c r="A104" s="20" t="s">
        <v>575</v>
      </c>
      <c r="B104" s="10" t="s">
        <v>576</v>
      </c>
      <c r="C104" s="20"/>
      <c r="D104" s="20"/>
      <c r="E104" s="20"/>
    </row>
    <row r="105" spans="1:5" x14ac:dyDescent="0.2">
      <c r="A105" s="20" t="s">
        <v>577</v>
      </c>
      <c r="B105" s="10">
        <v>206124</v>
      </c>
      <c r="C105" s="20"/>
      <c r="D105" s="20"/>
      <c r="E105" s="20"/>
    </row>
    <row r="106" spans="1:5" x14ac:dyDescent="0.2">
      <c r="A106" s="20" t="s">
        <v>580</v>
      </c>
      <c r="B106" s="10" t="s">
        <v>582</v>
      </c>
      <c r="C106" s="20"/>
      <c r="D106" s="20"/>
      <c r="E106" s="20"/>
    </row>
    <row r="107" spans="1:5" x14ac:dyDescent="0.2">
      <c r="A107" s="20" t="s">
        <v>583</v>
      </c>
      <c r="B107" s="10">
        <v>206126</v>
      </c>
      <c r="C107" s="20"/>
      <c r="D107" s="20"/>
      <c r="E107" s="20"/>
    </row>
    <row r="108" spans="1:5" x14ac:dyDescent="0.2">
      <c r="A108" s="20" t="s">
        <v>585</v>
      </c>
      <c r="B108" s="10">
        <v>206111</v>
      </c>
      <c r="C108" s="20"/>
      <c r="D108" s="20"/>
      <c r="E108" s="20"/>
    </row>
    <row r="109" spans="1:5" x14ac:dyDescent="0.2">
      <c r="A109" s="20" t="s">
        <v>587</v>
      </c>
      <c r="B109" s="10">
        <v>206091</v>
      </c>
      <c r="C109" s="20"/>
      <c r="D109" s="20"/>
      <c r="E109" s="20"/>
    </row>
    <row r="110" spans="1:5" x14ac:dyDescent="0.2">
      <c r="A110" s="20" t="s">
        <v>37</v>
      </c>
      <c r="B110" s="10">
        <v>1017</v>
      </c>
      <c r="C110" s="20"/>
      <c r="D110" s="20"/>
      <c r="E110" s="20"/>
    </row>
    <row r="111" spans="1:5" x14ac:dyDescent="0.2">
      <c r="A111" s="20" t="s">
        <v>38</v>
      </c>
      <c r="B111" s="10">
        <v>1006</v>
      </c>
      <c r="C111" s="20"/>
      <c r="D111" s="20"/>
      <c r="E111" s="20"/>
    </row>
    <row r="112" spans="1:5" x14ac:dyDescent="0.2">
      <c r="A112" s="20" t="s">
        <v>589</v>
      </c>
      <c r="B112" s="10" t="s">
        <v>590</v>
      </c>
      <c r="C112" s="20"/>
      <c r="D112" s="20"/>
      <c r="E112" s="20"/>
    </row>
    <row r="113" spans="1:5" x14ac:dyDescent="0.2">
      <c r="A113" s="20" t="s">
        <v>591</v>
      </c>
      <c r="B113" s="10">
        <v>206128</v>
      </c>
      <c r="C113" s="20"/>
      <c r="D113" s="20"/>
      <c r="E113" s="20"/>
    </row>
    <row r="114" spans="1:5" x14ac:dyDescent="0.2">
      <c r="A114" s="20" t="s">
        <v>908</v>
      </c>
      <c r="B114" s="10" t="s">
        <v>617</v>
      </c>
      <c r="C114" s="20"/>
      <c r="D114" s="20"/>
      <c r="E114" s="20"/>
    </row>
    <row r="115" spans="1:5" x14ac:dyDescent="0.2">
      <c r="A115" s="20" t="s">
        <v>898</v>
      </c>
      <c r="B115" s="10">
        <v>205921</v>
      </c>
      <c r="C115" s="20"/>
      <c r="D115" s="20"/>
      <c r="E115" s="20"/>
    </row>
    <row r="116" spans="1:5" x14ac:dyDescent="0.2">
      <c r="A116" s="20" t="s">
        <v>897</v>
      </c>
      <c r="B116" s="10">
        <v>205999</v>
      </c>
      <c r="C116" s="20"/>
      <c r="D116" s="20"/>
      <c r="E116" s="20"/>
    </row>
    <row r="117" spans="1:5" x14ac:dyDescent="0.2">
      <c r="A117" s="20" t="s">
        <v>896</v>
      </c>
      <c r="B117" s="10" t="s">
        <v>598</v>
      </c>
      <c r="C117" s="20"/>
      <c r="D117" s="20"/>
      <c r="E117" s="20"/>
    </row>
    <row r="118" spans="1:5" x14ac:dyDescent="0.2">
      <c r="A118" s="20" t="s">
        <v>899</v>
      </c>
      <c r="B118" s="10">
        <v>205922</v>
      </c>
      <c r="C118" s="20"/>
      <c r="D118" s="20"/>
      <c r="E118" s="20"/>
    </row>
    <row r="119" spans="1:5" x14ac:dyDescent="0.2">
      <c r="A119" s="20" t="s">
        <v>900</v>
      </c>
      <c r="B119" s="10" t="s">
        <v>603</v>
      </c>
      <c r="C119" s="20"/>
      <c r="D119" s="20"/>
      <c r="E119" s="20"/>
    </row>
    <row r="120" spans="1:5" x14ac:dyDescent="0.2">
      <c r="A120" s="20" t="s">
        <v>901</v>
      </c>
      <c r="B120" s="10">
        <v>205849</v>
      </c>
      <c r="C120" s="20"/>
      <c r="D120" s="20"/>
      <c r="E120" s="20"/>
    </row>
    <row r="121" spans="1:5" x14ac:dyDescent="0.2">
      <c r="A121" s="20" t="s">
        <v>902</v>
      </c>
      <c r="B121" s="10" t="s">
        <v>606</v>
      </c>
      <c r="C121" s="20"/>
      <c r="D121" s="20"/>
      <c r="E121" s="20"/>
    </row>
    <row r="122" spans="1:5" x14ac:dyDescent="0.2">
      <c r="A122" s="20" t="s">
        <v>903</v>
      </c>
      <c r="B122" s="10">
        <v>2</v>
      </c>
      <c r="C122" s="20"/>
      <c r="D122" s="20"/>
      <c r="E122" s="20"/>
    </row>
    <row r="123" spans="1:5" x14ac:dyDescent="0.2">
      <c r="A123" s="20" t="s">
        <v>904</v>
      </c>
      <c r="B123" s="10">
        <v>205956</v>
      </c>
      <c r="C123" s="20"/>
      <c r="D123" s="20"/>
      <c r="E123" s="20"/>
    </row>
    <row r="124" spans="1:5" x14ac:dyDescent="0.2">
      <c r="A124" s="20" t="s">
        <v>907</v>
      </c>
      <c r="B124" s="10" t="s">
        <v>613</v>
      </c>
      <c r="C124" s="20"/>
      <c r="D124" s="20"/>
      <c r="E124" s="20"/>
    </row>
    <row r="125" spans="1:5" x14ac:dyDescent="0.2">
      <c r="A125" s="20" t="s">
        <v>906</v>
      </c>
      <c r="B125" s="10" t="s">
        <v>615</v>
      </c>
      <c r="C125" s="20"/>
      <c r="D125" s="20"/>
      <c r="E125" s="20"/>
    </row>
    <row r="126" spans="1:5" x14ac:dyDescent="0.2">
      <c r="A126" s="20" t="s">
        <v>905</v>
      </c>
      <c r="B126" s="10" t="s">
        <v>612</v>
      </c>
      <c r="C126" s="20"/>
      <c r="D126" s="20"/>
      <c r="E126" s="20"/>
    </row>
    <row r="127" spans="1:5" x14ac:dyDescent="0.2">
      <c r="A127" s="20" t="s">
        <v>909</v>
      </c>
      <c r="B127" s="10" t="s">
        <v>618</v>
      </c>
      <c r="C127" s="20"/>
      <c r="D127" s="20"/>
      <c r="E127" s="20"/>
    </row>
    <row r="128" spans="1:5" x14ac:dyDescent="0.2">
      <c r="A128" s="20" t="s">
        <v>910</v>
      </c>
      <c r="B128" s="10" t="s">
        <v>619</v>
      </c>
      <c r="C128" s="20"/>
      <c r="D128" s="20"/>
      <c r="E128" s="20"/>
    </row>
    <row r="129" spans="1:5" x14ac:dyDescent="0.2">
      <c r="A129" s="20" t="s">
        <v>911</v>
      </c>
      <c r="B129" s="10" t="s">
        <v>620</v>
      </c>
      <c r="C129" s="20"/>
      <c r="D129" s="20"/>
      <c r="E129" s="20"/>
    </row>
    <row r="130" spans="1:5" x14ac:dyDescent="0.2">
      <c r="A130" s="20" t="s">
        <v>621</v>
      </c>
      <c r="B130" s="10" t="s">
        <v>622</v>
      </c>
      <c r="C130" s="20"/>
      <c r="D130" s="20"/>
      <c r="E130" s="20"/>
    </row>
    <row r="131" spans="1:5" x14ac:dyDescent="0.2">
      <c r="A131" s="20" t="s">
        <v>623</v>
      </c>
      <c r="B131" s="10" t="s">
        <v>625</v>
      </c>
      <c r="C131" s="20"/>
      <c r="D131" s="20"/>
      <c r="E131" s="20"/>
    </row>
    <row r="132" spans="1:5" x14ac:dyDescent="0.2">
      <c r="A132" s="20" t="s">
        <v>628</v>
      </c>
      <c r="B132" s="10" t="s">
        <v>629</v>
      </c>
      <c r="C132" s="20"/>
      <c r="D132" s="20"/>
      <c r="E132" s="20"/>
    </row>
    <row r="133" spans="1:5" x14ac:dyDescent="0.2">
      <c r="A133" s="20" t="s">
        <v>630</v>
      </c>
      <c r="B133" s="10">
        <v>258417</v>
      </c>
      <c r="C133" s="20"/>
      <c r="D133" s="20"/>
      <c r="E133" s="20"/>
    </row>
    <row r="134" spans="1:5" x14ac:dyDescent="0.2">
      <c r="A134" s="20" t="s">
        <v>632</v>
      </c>
      <c r="B134" s="10" t="s">
        <v>634</v>
      </c>
      <c r="C134" s="20"/>
      <c r="D134" s="20"/>
      <c r="E134" s="20"/>
    </row>
    <row r="135" spans="1:5" x14ac:dyDescent="0.2">
      <c r="A135" s="20" t="s">
        <v>635</v>
      </c>
      <c r="B135" s="10" t="s">
        <v>637</v>
      </c>
      <c r="C135" s="20"/>
      <c r="D135" s="20"/>
      <c r="E135" s="20"/>
    </row>
    <row r="136" spans="1:5" x14ac:dyDescent="0.2">
      <c r="A136" s="20" t="s">
        <v>638</v>
      </c>
      <c r="B136" s="10">
        <v>206106</v>
      </c>
      <c r="C136" s="20"/>
      <c r="D136" s="20"/>
      <c r="E136" s="20"/>
    </row>
    <row r="137" spans="1:5" x14ac:dyDescent="0.2">
      <c r="A137" s="20" t="s">
        <v>640</v>
      </c>
      <c r="B137" s="10" t="s">
        <v>641</v>
      </c>
      <c r="C137" s="20"/>
      <c r="D137" s="20"/>
      <c r="E137" s="20"/>
    </row>
    <row r="138" spans="1:5" x14ac:dyDescent="0.2">
      <c r="A138" s="20" t="s">
        <v>39</v>
      </c>
      <c r="B138" s="10">
        <v>1008</v>
      </c>
      <c r="C138" s="20"/>
      <c r="D138" s="20"/>
      <c r="E138" s="20"/>
    </row>
    <row r="139" spans="1:5" x14ac:dyDescent="0.2">
      <c r="A139" s="20" t="s">
        <v>642</v>
      </c>
      <c r="B139" s="10" t="s">
        <v>643</v>
      </c>
      <c r="C139" s="20"/>
      <c r="D139" s="20"/>
      <c r="E139" s="20"/>
    </row>
    <row r="140" spans="1:5" x14ac:dyDescent="0.2">
      <c r="A140" s="20" t="s">
        <v>644</v>
      </c>
      <c r="B140" s="10" t="s">
        <v>645</v>
      </c>
      <c r="C140" s="20"/>
      <c r="D140" s="20"/>
      <c r="E140" s="20"/>
    </row>
    <row r="141" spans="1:5" x14ac:dyDescent="0.2">
      <c r="A141" s="20" t="s">
        <v>646</v>
      </c>
      <c r="B141" s="10">
        <v>206133</v>
      </c>
      <c r="C141" s="20"/>
      <c r="D141" s="20"/>
      <c r="E141" s="20"/>
    </row>
    <row r="142" spans="1:5" x14ac:dyDescent="0.2">
      <c r="A142" s="20" t="s">
        <v>648</v>
      </c>
      <c r="B142" s="10" t="s">
        <v>650</v>
      </c>
      <c r="C142" s="20"/>
      <c r="D142" s="20"/>
      <c r="E142" s="20"/>
    </row>
    <row r="143" spans="1:5" x14ac:dyDescent="0.2">
      <c r="A143" s="20" t="s">
        <v>651</v>
      </c>
      <c r="B143" s="10">
        <v>206134</v>
      </c>
      <c r="C143" s="20"/>
      <c r="D143" s="20"/>
      <c r="E143" s="20"/>
    </row>
    <row r="144" spans="1:5" x14ac:dyDescent="0.2">
      <c r="A144" s="20" t="s">
        <v>655</v>
      </c>
      <c r="B144" s="10" t="s">
        <v>656</v>
      </c>
      <c r="C144" s="20"/>
      <c r="D144" s="20"/>
      <c r="E144" s="20"/>
    </row>
    <row r="145" spans="1:5" x14ac:dyDescent="0.2">
      <c r="A145" s="20" t="s">
        <v>657</v>
      </c>
      <c r="B145" s="10" t="s">
        <v>658</v>
      </c>
      <c r="C145" s="20"/>
      <c r="D145" s="20"/>
      <c r="E145" s="20"/>
    </row>
    <row r="146" spans="1:5" x14ac:dyDescent="0.2">
      <c r="A146" s="20" t="s">
        <v>659</v>
      </c>
      <c r="B146" s="10">
        <v>206109</v>
      </c>
      <c r="C146" s="20"/>
      <c r="D146" s="20"/>
      <c r="E146" s="20"/>
    </row>
    <row r="147" spans="1:5" x14ac:dyDescent="0.2">
      <c r="A147" s="20" t="s">
        <v>661</v>
      </c>
      <c r="B147" s="10">
        <v>206110</v>
      </c>
      <c r="C147" s="20"/>
      <c r="D147" s="20"/>
      <c r="E147" s="20"/>
    </row>
    <row r="148" spans="1:5" x14ac:dyDescent="0.2">
      <c r="A148" s="20" t="s">
        <v>663</v>
      </c>
      <c r="B148" s="10">
        <v>206135</v>
      </c>
      <c r="C148" s="20"/>
      <c r="D148" s="20"/>
      <c r="E148" s="20"/>
    </row>
    <row r="149" spans="1:5" x14ac:dyDescent="0.2">
      <c r="A149" s="20" t="s">
        <v>665</v>
      </c>
      <c r="B149" s="10">
        <v>509195</v>
      </c>
      <c r="C149" s="20"/>
      <c r="D149" s="20"/>
      <c r="E149" s="20"/>
    </row>
    <row r="150" spans="1:5" x14ac:dyDescent="0.2">
      <c r="A150" s="20" t="s">
        <v>667</v>
      </c>
      <c r="B150" s="10" t="s">
        <v>668</v>
      </c>
      <c r="C150" s="20"/>
      <c r="D150" s="20"/>
      <c r="E150" s="20"/>
    </row>
    <row r="151" spans="1:5" x14ac:dyDescent="0.2">
      <c r="A151" s="20" t="s">
        <v>671</v>
      </c>
      <c r="B151" s="10" t="s">
        <v>673</v>
      </c>
      <c r="C151" s="20"/>
      <c r="D151" s="20"/>
      <c r="E151" s="20"/>
    </row>
    <row r="152" spans="1:5" x14ac:dyDescent="0.2">
      <c r="A152" s="20" t="s">
        <v>674</v>
      </c>
      <c r="B152" s="10">
        <v>509199</v>
      </c>
      <c r="C152" s="20"/>
      <c r="D152" s="20"/>
      <c r="E152" s="20"/>
    </row>
    <row r="153" spans="1:5" x14ac:dyDescent="0.2">
      <c r="A153" s="20" t="s">
        <v>676</v>
      </c>
      <c r="B153" s="10">
        <v>509197</v>
      </c>
      <c r="C153" s="20"/>
      <c r="D153" s="20"/>
      <c r="E153" s="20"/>
    </row>
    <row r="154" spans="1:5" x14ac:dyDescent="0.2">
      <c r="A154" s="20" t="s">
        <v>678</v>
      </c>
      <c r="B154" s="10" t="s">
        <v>680</v>
      </c>
      <c r="C154" s="20"/>
      <c r="D154" s="20"/>
      <c r="E154" s="20"/>
    </row>
    <row r="155" spans="1:5" x14ac:dyDescent="0.2">
      <c r="A155" s="20" t="s">
        <v>40</v>
      </c>
      <c r="B155" s="10">
        <v>1005</v>
      </c>
      <c r="C155" s="20"/>
      <c r="D155" s="20"/>
      <c r="E155" s="20"/>
    </row>
    <row r="156" spans="1:5" x14ac:dyDescent="0.2">
      <c r="A156" s="20" t="s">
        <v>683</v>
      </c>
      <c r="B156" s="10">
        <v>206117</v>
      </c>
      <c r="C156" s="20"/>
      <c r="D156" s="20"/>
      <c r="E156" s="20"/>
    </row>
    <row r="157" spans="1:5" x14ac:dyDescent="0.2">
      <c r="A157" s="20" t="s">
        <v>685</v>
      </c>
      <c r="B157" s="10">
        <v>206141</v>
      </c>
      <c r="C157" s="20"/>
      <c r="D157" s="20"/>
      <c r="E157" s="20"/>
    </row>
    <row r="158" spans="1:5" x14ac:dyDescent="0.2">
      <c r="A158" s="20" t="s">
        <v>687</v>
      </c>
      <c r="B158" s="10" t="s">
        <v>689</v>
      </c>
      <c r="C158" s="20"/>
      <c r="D158" s="20"/>
      <c r="E158" s="20"/>
    </row>
    <row r="159" spans="1:5" x14ac:dyDescent="0.2">
      <c r="A159" s="20" t="s">
        <v>690</v>
      </c>
      <c r="B159" s="10">
        <v>258404</v>
      </c>
      <c r="C159" s="20"/>
      <c r="D159" s="20"/>
      <c r="E159" s="20"/>
    </row>
    <row r="160" spans="1:5" x14ac:dyDescent="0.2">
      <c r="A160" s="20" t="s">
        <v>692</v>
      </c>
      <c r="B160" s="10">
        <v>258405</v>
      </c>
      <c r="C160" s="20"/>
      <c r="D160" s="20"/>
      <c r="E160" s="20"/>
    </row>
    <row r="161" spans="1:5" x14ac:dyDescent="0.2">
      <c r="A161" s="20" t="s">
        <v>694</v>
      </c>
      <c r="B161" s="10">
        <v>258406</v>
      </c>
      <c r="C161" s="20"/>
      <c r="D161" s="20"/>
      <c r="E161" s="20"/>
    </row>
    <row r="162" spans="1:5" x14ac:dyDescent="0.2">
      <c r="A162" s="20" t="s">
        <v>696</v>
      </c>
      <c r="B162" s="10">
        <v>206160</v>
      </c>
      <c r="C162" s="20"/>
      <c r="D162" s="20"/>
      <c r="E162" s="20"/>
    </row>
    <row r="163" spans="1:5" x14ac:dyDescent="0.2">
      <c r="A163" s="20" t="s">
        <v>698</v>
      </c>
      <c r="B163" s="10" t="s">
        <v>700</v>
      </c>
      <c r="C163" s="20"/>
      <c r="D163" s="20"/>
      <c r="E163" s="20"/>
    </row>
    <row r="164" spans="1:5" x14ac:dyDescent="0.2">
      <c r="A164" s="20" t="s">
        <v>701</v>
      </c>
      <c r="B164" s="10" t="s">
        <v>702</v>
      </c>
      <c r="C164" s="20"/>
      <c r="D164" s="20"/>
      <c r="E164" s="20"/>
    </row>
    <row r="165" spans="1:5" x14ac:dyDescent="0.2">
      <c r="A165" s="20" t="s">
        <v>703</v>
      </c>
      <c r="B165" s="10" t="s">
        <v>705</v>
      </c>
      <c r="C165" s="20"/>
      <c r="D165" s="20"/>
      <c r="E165" s="20"/>
    </row>
    <row r="166" spans="1:5" x14ac:dyDescent="0.2">
      <c r="A166" s="20" t="s">
        <v>706</v>
      </c>
      <c r="B166" s="10">
        <v>206146</v>
      </c>
      <c r="C166" s="20"/>
      <c r="D166" s="20"/>
      <c r="E166" s="20"/>
    </row>
    <row r="167" spans="1:5" x14ac:dyDescent="0.2">
      <c r="A167" s="20" t="s">
        <v>708</v>
      </c>
      <c r="B167" s="10" t="s">
        <v>709</v>
      </c>
      <c r="C167" s="20"/>
      <c r="D167" s="20"/>
      <c r="E167" s="20"/>
    </row>
    <row r="168" spans="1:5" x14ac:dyDescent="0.2">
      <c r="A168" s="20" t="s">
        <v>715</v>
      </c>
      <c r="B168" s="10" t="s">
        <v>716</v>
      </c>
      <c r="C168" s="20"/>
      <c r="D168" s="20"/>
      <c r="E168" s="20"/>
    </row>
    <row r="169" spans="1:5" x14ac:dyDescent="0.2">
      <c r="A169" s="211" t="s">
        <v>717</v>
      </c>
      <c r="B169" s="828" t="s">
        <v>719</v>
      </c>
      <c r="C169" s="20"/>
      <c r="D169" s="20"/>
      <c r="E169" s="20"/>
    </row>
    <row r="170" spans="1:5" x14ac:dyDescent="0.2">
      <c r="A170" s="211" t="s">
        <v>720</v>
      </c>
      <c r="B170" s="828" t="s">
        <v>721</v>
      </c>
      <c r="C170" s="20"/>
      <c r="D170" s="20"/>
      <c r="E170" s="20"/>
    </row>
    <row r="171" spans="1:5" x14ac:dyDescent="0.2">
      <c r="A171" s="211" t="s">
        <v>722</v>
      </c>
      <c r="B171" s="828">
        <v>113044</v>
      </c>
      <c r="C171" s="20"/>
      <c r="D171" s="20"/>
      <c r="E171" s="20"/>
    </row>
    <row r="172" spans="1:5" x14ac:dyDescent="0.2">
      <c r="A172" s="211" t="s">
        <v>724</v>
      </c>
      <c r="B172" s="828" t="s">
        <v>726</v>
      </c>
      <c r="C172" s="20"/>
      <c r="D172" s="20"/>
      <c r="E172" s="20"/>
    </row>
    <row r="173" spans="1:5" x14ac:dyDescent="0.2">
      <c r="A173" s="211" t="s">
        <v>727</v>
      </c>
      <c r="B173" s="828" t="s">
        <v>729</v>
      </c>
      <c r="C173" s="20"/>
      <c r="D173" s="20"/>
      <c r="E173" s="20"/>
    </row>
    <row r="174" spans="1:5" x14ac:dyDescent="0.2">
      <c r="A174" s="211" t="s">
        <v>730</v>
      </c>
      <c r="B174" s="828" t="s">
        <v>732</v>
      </c>
      <c r="C174" s="20"/>
      <c r="D174" s="20"/>
      <c r="E174" s="20"/>
    </row>
    <row r="175" spans="1:5" x14ac:dyDescent="0.2">
      <c r="A175" s="211" t="s">
        <v>733</v>
      </c>
      <c r="B175" s="828" t="s">
        <v>735</v>
      </c>
      <c r="C175" s="20"/>
      <c r="D175" s="20"/>
      <c r="E175" s="20"/>
    </row>
    <row r="176" spans="1:5" x14ac:dyDescent="0.2">
      <c r="A176" s="211" t="s">
        <v>736</v>
      </c>
      <c r="B176" s="828" t="s">
        <v>737</v>
      </c>
      <c r="C176" s="20"/>
      <c r="D176" s="20"/>
      <c r="E176" s="20"/>
    </row>
    <row r="177" spans="1:5" x14ac:dyDescent="0.2">
      <c r="A177" s="211" t="s">
        <v>738</v>
      </c>
      <c r="B177" s="828">
        <v>206152</v>
      </c>
      <c r="C177" s="20"/>
      <c r="D177" s="20"/>
      <c r="E177" s="20"/>
    </row>
    <row r="178" spans="1:5" x14ac:dyDescent="0.2">
      <c r="A178" s="211" t="s">
        <v>103</v>
      </c>
      <c r="B178" s="828">
        <v>3158</v>
      </c>
      <c r="C178" s="20"/>
      <c r="D178" s="20"/>
      <c r="E178" s="20"/>
    </row>
    <row r="179" spans="1:5" x14ac:dyDescent="0.2">
      <c r="A179" s="211" t="s">
        <v>740</v>
      </c>
      <c r="B179" s="828">
        <v>206153</v>
      </c>
      <c r="C179" s="20"/>
      <c r="D179" s="20"/>
      <c r="E179" s="20"/>
    </row>
    <row r="180" spans="1:5" x14ac:dyDescent="0.2">
      <c r="A180" s="211" t="s">
        <v>742</v>
      </c>
      <c r="B180" s="828">
        <v>206154</v>
      </c>
      <c r="C180" s="20"/>
      <c r="D180" s="20"/>
      <c r="E180" s="20"/>
    </row>
    <row r="181" spans="1:5" x14ac:dyDescent="0.2">
      <c r="A181" s="211" t="s">
        <v>744</v>
      </c>
      <c r="B181" s="828" t="s">
        <v>745</v>
      </c>
      <c r="C181" s="20"/>
      <c r="D181" s="20"/>
      <c r="E181" s="20"/>
    </row>
    <row r="182" spans="1:5" x14ac:dyDescent="0.2">
      <c r="A182" s="211" t="s">
        <v>41</v>
      </c>
      <c r="B182" s="828">
        <v>1010</v>
      </c>
      <c r="C182" s="20"/>
      <c r="D182" s="20"/>
      <c r="E182" s="20"/>
    </row>
    <row r="183" spans="1:5" x14ac:dyDescent="0.2">
      <c r="A183" s="211" t="s">
        <v>746</v>
      </c>
      <c r="B183" s="828" t="s">
        <v>748</v>
      </c>
      <c r="C183" s="20"/>
      <c r="D183" s="20"/>
      <c r="E183" s="20"/>
    </row>
    <row r="184" spans="1:5" x14ac:dyDescent="0.2">
      <c r="A184" s="211" t="s">
        <v>749</v>
      </c>
      <c r="B184" s="828" t="s">
        <v>751</v>
      </c>
      <c r="C184" s="20"/>
      <c r="D184" s="20"/>
      <c r="E184" s="20"/>
    </row>
    <row r="185" spans="1:5" x14ac:dyDescent="0.2">
      <c r="A185" s="211" t="s">
        <v>752</v>
      </c>
      <c r="B185" s="828">
        <v>206103</v>
      </c>
      <c r="C185" s="20"/>
      <c r="D185" s="20"/>
      <c r="E185" s="20"/>
    </row>
    <row r="186" spans="1:5" x14ac:dyDescent="0.2">
      <c r="A186" s="211" t="s">
        <v>753</v>
      </c>
      <c r="B186" s="828" t="s">
        <v>755</v>
      </c>
      <c r="C186" s="20"/>
      <c r="D186" s="20"/>
      <c r="E186" s="20"/>
    </row>
    <row r="187" spans="1:5" x14ac:dyDescent="0.2">
      <c r="A187" s="211" t="s">
        <v>756</v>
      </c>
      <c r="B187" s="828" t="s">
        <v>758</v>
      </c>
      <c r="C187" s="20"/>
      <c r="D187" s="20"/>
      <c r="E187" s="20"/>
    </row>
    <row r="188" spans="1:5" x14ac:dyDescent="0.2">
      <c r="A188" s="211" t="s">
        <v>759</v>
      </c>
      <c r="B188" s="828">
        <v>258420</v>
      </c>
      <c r="C188" s="20"/>
      <c r="D188" s="20"/>
      <c r="E188" s="20"/>
    </row>
    <row r="189" spans="1:5" x14ac:dyDescent="0.2">
      <c r="A189" s="211" t="s">
        <v>761</v>
      </c>
      <c r="B189" s="828">
        <v>258424</v>
      </c>
      <c r="C189" s="20"/>
      <c r="D189" s="20"/>
      <c r="E189" s="20"/>
    </row>
    <row r="190" spans="1:5" x14ac:dyDescent="0.2">
      <c r="A190" s="211" t="s">
        <v>42</v>
      </c>
      <c r="B190" s="828">
        <v>1009</v>
      </c>
      <c r="C190" s="20"/>
      <c r="D190" s="20"/>
      <c r="E190" s="20"/>
    </row>
    <row r="191" spans="1:5" x14ac:dyDescent="0.2">
      <c r="A191" s="211" t="s">
        <v>770</v>
      </c>
      <c r="B191" s="828" t="s">
        <v>771</v>
      </c>
      <c r="C191" s="20"/>
      <c r="D191" s="20"/>
      <c r="E191" s="20"/>
    </row>
    <row r="192" spans="1:5" x14ac:dyDescent="0.2">
      <c r="A192" s="211" t="s">
        <v>765</v>
      </c>
      <c r="B192" s="828" t="s">
        <v>767</v>
      </c>
      <c r="C192" s="20"/>
      <c r="D192" s="20"/>
      <c r="E192" s="20"/>
    </row>
    <row r="193" spans="1:5" x14ac:dyDescent="0.2">
      <c r="A193" s="211" t="s">
        <v>43</v>
      </c>
      <c r="B193" s="828">
        <v>1015</v>
      </c>
      <c r="C193" s="20"/>
      <c r="D193" s="20"/>
      <c r="E193" s="20"/>
    </row>
    <row r="194" spans="1:5" x14ac:dyDescent="0.2">
      <c r="A194" s="211" t="s">
        <v>768</v>
      </c>
      <c r="B194" s="828" t="s">
        <v>769</v>
      </c>
      <c r="C194" s="20"/>
      <c r="D194" s="20"/>
      <c r="E194" s="20"/>
    </row>
    <row r="195" spans="1:5" x14ac:dyDescent="0.2">
      <c r="A195" s="211" t="s">
        <v>772</v>
      </c>
      <c r="B195" s="828">
        <v>509204</v>
      </c>
      <c r="C195" s="20"/>
      <c r="D195" s="20"/>
      <c r="E195" s="20"/>
    </row>
    <row r="196" spans="1:5" x14ac:dyDescent="0.2">
      <c r="A196" s="491" t="s">
        <v>569</v>
      </c>
      <c r="B196" s="654" t="s">
        <v>570</v>
      </c>
      <c r="C196" s="623"/>
      <c r="D196" s="603"/>
    </row>
    <row r="197" spans="1:5" x14ac:dyDescent="0.2">
      <c r="A197" s="665" t="s">
        <v>571</v>
      </c>
      <c r="B197" s="662" t="s">
        <v>572</v>
      </c>
      <c r="C197" s="623"/>
      <c r="D197" s="603"/>
    </row>
    <row r="198" spans="1:5" ht="15" x14ac:dyDescent="0.25">
      <c r="A198" s="665" t="s">
        <v>573</v>
      </c>
      <c r="B198" s="661" t="s">
        <v>574</v>
      </c>
      <c r="C198" s="623"/>
      <c r="D198" s="603"/>
    </row>
    <row r="199" spans="1:5" x14ac:dyDescent="0.2">
      <c r="A199" s="659" t="s">
        <v>593</v>
      </c>
      <c r="B199" s="657" t="s">
        <v>594</v>
      </c>
      <c r="C199" s="623"/>
      <c r="D199" s="586"/>
    </row>
    <row r="200" spans="1:5" x14ac:dyDescent="0.2">
      <c r="A200" s="659" t="s">
        <v>595</v>
      </c>
      <c r="B200" s="657" t="s">
        <v>596</v>
      </c>
      <c r="C200" s="623"/>
      <c r="D200" s="603"/>
    </row>
    <row r="201" spans="1:5" x14ac:dyDescent="0.2">
      <c r="A201" s="331" t="s">
        <v>1026</v>
      </c>
      <c r="B201" s="331" t="s">
        <v>599</v>
      </c>
      <c r="C201" s="623"/>
      <c r="D201" s="586"/>
    </row>
    <row r="202" spans="1:5" x14ac:dyDescent="0.2">
      <c r="A202" s="331" t="s">
        <v>1027</v>
      </c>
      <c r="B202" s="331" t="s">
        <v>600</v>
      </c>
      <c r="C202" s="623"/>
      <c r="D202" s="586"/>
    </row>
    <row r="203" spans="1:5" x14ac:dyDescent="0.2">
      <c r="A203" s="331" t="s">
        <v>1014</v>
      </c>
      <c r="B203" s="331" t="s">
        <v>601</v>
      </c>
      <c r="C203" s="623"/>
      <c r="D203" s="586"/>
    </row>
    <row r="204" spans="1:5" x14ac:dyDescent="0.2">
      <c r="A204" s="331" t="s">
        <v>1015</v>
      </c>
      <c r="B204" s="331" t="s">
        <v>602</v>
      </c>
      <c r="C204" s="623"/>
      <c r="D204" s="586"/>
    </row>
    <row r="205" spans="1:5" x14ac:dyDescent="0.2">
      <c r="A205" s="331" t="s">
        <v>1016</v>
      </c>
      <c r="B205" s="331" t="s">
        <v>604</v>
      </c>
      <c r="C205" s="623"/>
      <c r="D205" s="586"/>
    </row>
    <row r="206" spans="1:5" x14ac:dyDescent="0.2">
      <c r="A206" s="331" t="s">
        <v>1017</v>
      </c>
      <c r="B206" s="331" t="s">
        <v>605</v>
      </c>
      <c r="C206" s="623"/>
      <c r="D206" s="586"/>
    </row>
    <row r="207" spans="1:5" x14ac:dyDescent="0.2">
      <c r="A207" s="612" t="s">
        <v>1018</v>
      </c>
      <c r="B207" s="658" t="s">
        <v>607</v>
      </c>
      <c r="C207" s="623"/>
      <c r="D207" s="586"/>
    </row>
    <row r="208" spans="1:5" x14ac:dyDescent="0.2">
      <c r="A208" s="664" t="s">
        <v>1019</v>
      </c>
      <c r="B208" s="662" t="s">
        <v>608</v>
      </c>
      <c r="C208" s="623"/>
      <c r="D208" s="586"/>
    </row>
    <row r="209" spans="1:4" x14ac:dyDescent="0.2">
      <c r="A209" s="607" t="s">
        <v>1020</v>
      </c>
      <c r="B209" s="807" t="s">
        <v>609</v>
      </c>
      <c r="C209" s="623"/>
      <c r="D209" s="586"/>
    </row>
    <row r="210" spans="1:4" x14ac:dyDescent="0.2">
      <c r="A210" s="808" t="s">
        <v>1021</v>
      </c>
      <c r="B210" s="662" t="s">
        <v>610</v>
      </c>
      <c r="C210" s="623"/>
      <c r="D210" s="586"/>
    </row>
    <row r="211" spans="1:4" x14ac:dyDescent="0.2">
      <c r="A211" s="612" t="s">
        <v>1022</v>
      </c>
      <c r="B211" s="608" t="s">
        <v>611</v>
      </c>
      <c r="C211" s="623"/>
      <c r="D211" s="586"/>
    </row>
    <row r="212" spans="1:4" x14ac:dyDescent="0.2">
      <c r="A212" s="607" t="s">
        <v>905</v>
      </c>
      <c r="B212" s="608" t="s">
        <v>612</v>
      </c>
      <c r="C212" s="623"/>
      <c r="D212" s="586"/>
    </row>
    <row r="213" spans="1:4" x14ac:dyDescent="0.2">
      <c r="A213" s="808" t="s">
        <v>1023</v>
      </c>
      <c r="B213" s="802" t="s">
        <v>614</v>
      </c>
      <c r="C213" s="623"/>
      <c r="D213" s="586"/>
    </row>
    <row r="214" spans="1:4" x14ac:dyDescent="0.2">
      <c r="A214" s="612" t="s">
        <v>1024</v>
      </c>
      <c r="B214" s="608">
        <v>206043</v>
      </c>
      <c r="C214" s="623"/>
      <c r="D214" s="586"/>
    </row>
    <row r="215" spans="1:4" x14ac:dyDescent="0.2">
      <c r="A215" s="611" t="s">
        <v>1025</v>
      </c>
      <c r="B215" s="809" t="s">
        <v>616</v>
      </c>
      <c r="C215" s="623"/>
      <c r="D215" s="586"/>
    </row>
    <row r="216" spans="1:4" x14ac:dyDescent="0.2">
      <c r="A216" s="804" t="s">
        <v>669</v>
      </c>
      <c r="B216" s="722" t="s">
        <v>670</v>
      </c>
      <c r="C216" s="623"/>
      <c r="D216" s="603"/>
    </row>
    <row r="217" spans="1:4" x14ac:dyDescent="0.2">
      <c r="A217" s="659" t="s">
        <v>681</v>
      </c>
      <c r="B217" s="657" t="s">
        <v>682</v>
      </c>
      <c r="C217" s="623"/>
      <c r="D217" s="586"/>
    </row>
    <row r="218" spans="1:4" x14ac:dyDescent="0.2">
      <c r="A218" s="491" t="s">
        <v>653</v>
      </c>
      <c r="B218" s="706" t="s">
        <v>654</v>
      </c>
    </row>
    <row r="219" spans="1:4" x14ac:dyDescent="0.2">
      <c r="A219" s="215" t="s">
        <v>63</v>
      </c>
      <c r="B219" s="823">
        <v>2448</v>
      </c>
    </row>
    <row r="220" spans="1:4" x14ac:dyDescent="0.2">
      <c r="A220" s="583" t="s">
        <v>1033</v>
      </c>
      <c r="B220" s="837">
        <v>4000</v>
      </c>
    </row>
    <row r="221" spans="1:4" x14ac:dyDescent="0.2">
      <c r="A221" s="198"/>
      <c r="B221" s="198"/>
    </row>
    <row r="222" spans="1:4" x14ac:dyDescent="0.2">
      <c r="A222" s="198"/>
      <c r="B222" s="198"/>
    </row>
  </sheetData>
  <sheetProtection password="EF5C" sheet="1" objects="1" scenarios="1" selectLockedCells="1" selectUnlockedCells="1"/>
  <mergeCells count="1">
    <mergeCell ref="B1:B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2"/>
  <sheetViews>
    <sheetView zoomScale="80" zoomScaleNormal="80" workbookViewId="0">
      <pane xSplit="2" ySplit="6" topLeftCell="C7" activePane="bottomRight" state="frozen"/>
      <selection activeCell="B61" sqref="B61"/>
      <selection pane="topRight" activeCell="B61" sqref="B61"/>
      <selection pane="bottomLeft" activeCell="B61" sqref="B61"/>
      <selection pane="bottomRight" activeCell="B61" sqref="B61"/>
    </sheetView>
  </sheetViews>
  <sheetFormatPr defaultRowHeight="12.75" x14ac:dyDescent="0.2"/>
  <cols>
    <col min="1" max="1" width="52.42578125" style="223" bestFit="1" customWidth="1"/>
    <col min="2" max="2" width="17.140625" style="223" bestFit="1" customWidth="1"/>
    <col min="3" max="3" width="13.28515625" style="223" customWidth="1"/>
    <col min="4" max="4" width="13.140625" style="223" customWidth="1"/>
    <col min="5" max="5" width="10.5703125" style="223" customWidth="1"/>
    <col min="6" max="6" width="13.5703125" style="223" customWidth="1"/>
    <col min="7" max="7" width="11.28515625" style="223" bestFit="1" customWidth="1"/>
    <col min="8" max="16384" width="9.140625" style="223"/>
  </cols>
  <sheetData>
    <row r="1" spans="1:10" ht="12.75" customHeight="1" x14ac:dyDescent="0.2">
      <c r="A1" s="9" t="s">
        <v>137</v>
      </c>
      <c r="B1" s="1245" t="s">
        <v>261</v>
      </c>
      <c r="C1" s="13"/>
      <c r="D1" s="13"/>
      <c r="E1" s="183">
        <f>1469-269.32</f>
        <v>1199.68</v>
      </c>
      <c r="F1" s="190"/>
      <c r="G1" s="13"/>
    </row>
    <row r="2" spans="1:10" x14ac:dyDescent="0.2">
      <c r="A2" s="9" t="s">
        <v>138</v>
      </c>
      <c r="B2" s="1245"/>
      <c r="C2" s="13"/>
      <c r="D2" s="13"/>
      <c r="F2" s="190">
        <f>2474.22-453.6159</f>
        <v>2020.6040999999998</v>
      </c>
      <c r="G2" s="13"/>
    </row>
    <row r="3" spans="1:10" x14ac:dyDescent="0.2">
      <c r="A3" s="9" t="s">
        <v>139</v>
      </c>
      <c r="B3" s="1245"/>
      <c r="C3" s="13"/>
      <c r="D3" s="13"/>
      <c r="E3" s="13"/>
      <c r="F3" s="13"/>
      <c r="G3" s="13"/>
    </row>
    <row r="4" spans="1:10" x14ac:dyDescent="0.2">
      <c r="A4" s="9" t="s">
        <v>140</v>
      </c>
      <c r="B4" s="1245"/>
      <c r="C4" s="13"/>
      <c r="D4" s="13"/>
      <c r="E4" s="13"/>
      <c r="F4" s="13"/>
      <c r="G4" s="13"/>
    </row>
    <row r="5" spans="1:10" x14ac:dyDescent="0.2">
      <c r="A5" s="9" t="s">
        <v>141</v>
      </c>
      <c r="B5" s="1245"/>
      <c r="C5" s="13"/>
      <c r="D5" s="13"/>
      <c r="E5" s="13"/>
      <c r="F5" s="13"/>
      <c r="G5" s="13"/>
    </row>
    <row r="6" spans="1:10" ht="25.5" x14ac:dyDescent="0.2">
      <c r="A6" s="25" t="s">
        <v>180</v>
      </c>
      <c r="B6" s="15" t="s">
        <v>142</v>
      </c>
      <c r="C6" s="43" t="s">
        <v>202</v>
      </c>
      <c r="D6" s="43" t="s">
        <v>203</v>
      </c>
      <c r="E6" s="43" t="s">
        <v>204</v>
      </c>
      <c r="F6" s="43" t="s">
        <v>205</v>
      </c>
      <c r="G6" s="17" t="s">
        <v>206</v>
      </c>
    </row>
    <row r="7" spans="1:10" x14ac:dyDescent="0.2">
      <c r="A7" s="18" t="s">
        <v>44</v>
      </c>
      <c r="B7" s="19">
        <v>2400</v>
      </c>
      <c r="C7" s="211">
        <v>15.700000000000051</v>
      </c>
      <c r="D7" s="211">
        <v>0</v>
      </c>
      <c r="E7" s="243">
        <f>E$1*C7</f>
        <v>18834.976000000061</v>
      </c>
      <c r="F7" s="243">
        <f>F$2*D7</f>
        <v>0</v>
      </c>
      <c r="G7" s="243">
        <f>F7+E7</f>
        <v>18834.976000000061</v>
      </c>
      <c r="I7" s="211"/>
      <c r="J7" s="211"/>
    </row>
    <row r="8" spans="1:10" x14ac:dyDescent="0.2">
      <c r="A8" s="18" t="s">
        <v>45</v>
      </c>
      <c r="B8" s="19">
        <v>2443</v>
      </c>
      <c r="C8" s="211">
        <v>0</v>
      </c>
      <c r="D8" s="211">
        <v>0</v>
      </c>
      <c r="E8" s="243">
        <f t="shared" ref="E8:E70" si="0">E$1*C8</f>
        <v>0</v>
      </c>
      <c r="F8" s="243">
        <f t="shared" ref="F8:F70" si="1">F$2*D8</f>
        <v>0</v>
      </c>
      <c r="G8" s="243">
        <f t="shared" ref="G8:G70" si="2">F8+E8</f>
        <v>0</v>
      </c>
      <c r="I8" s="211"/>
      <c r="J8" s="211"/>
    </row>
    <row r="9" spans="1:10" x14ac:dyDescent="0.2">
      <c r="A9" s="18" t="s">
        <v>155</v>
      </c>
      <c r="B9" s="19">
        <v>2442</v>
      </c>
      <c r="C9" s="211">
        <v>0</v>
      </c>
      <c r="D9" s="211">
        <v>0</v>
      </c>
      <c r="E9" s="243">
        <f t="shared" si="0"/>
        <v>0</v>
      </c>
      <c r="F9" s="243">
        <f t="shared" si="1"/>
        <v>0</v>
      </c>
      <c r="G9" s="243">
        <f t="shared" si="2"/>
        <v>0</v>
      </c>
      <c r="I9" s="211"/>
      <c r="J9" s="211"/>
    </row>
    <row r="10" spans="1:10" x14ac:dyDescent="0.2">
      <c r="A10" s="18" t="s">
        <v>47</v>
      </c>
      <c r="B10" s="19">
        <v>2629</v>
      </c>
      <c r="C10" s="211">
        <v>25.087192118226675</v>
      </c>
      <c r="D10" s="211">
        <v>0</v>
      </c>
      <c r="E10" s="243">
        <f t="shared" si="0"/>
        <v>30096.60264039418</v>
      </c>
      <c r="F10" s="243">
        <f t="shared" si="1"/>
        <v>0</v>
      </c>
      <c r="G10" s="243">
        <f t="shared" si="2"/>
        <v>30096.60264039418</v>
      </c>
      <c r="I10" s="211"/>
      <c r="J10" s="211"/>
    </row>
    <row r="11" spans="1:10" x14ac:dyDescent="0.2">
      <c r="A11" s="18" t="s">
        <v>48</v>
      </c>
      <c r="B11" s="19">
        <v>2509</v>
      </c>
      <c r="C11" s="211">
        <v>10.199999999999967</v>
      </c>
      <c r="D11" s="211">
        <v>0</v>
      </c>
      <c r="E11" s="243">
        <f t="shared" si="0"/>
        <v>12236.735999999961</v>
      </c>
      <c r="F11" s="243">
        <f t="shared" si="1"/>
        <v>0</v>
      </c>
      <c r="G11" s="243">
        <f t="shared" si="2"/>
        <v>12236.735999999961</v>
      </c>
      <c r="I11" s="211"/>
      <c r="J11" s="211"/>
    </row>
    <row r="12" spans="1:10" x14ac:dyDescent="0.2">
      <c r="A12" s="18" t="s">
        <v>49</v>
      </c>
      <c r="B12" s="19">
        <v>2005</v>
      </c>
      <c r="C12" s="211">
        <v>6.9999999999998996</v>
      </c>
      <c r="D12" s="211">
        <v>0</v>
      </c>
      <c r="E12" s="243">
        <f t="shared" si="0"/>
        <v>8397.7599999998802</v>
      </c>
      <c r="F12" s="243">
        <f t="shared" si="1"/>
        <v>0</v>
      </c>
      <c r="G12" s="243">
        <f t="shared" si="2"/>
        <v>8397.7599999998802</v>
      </c>
      <c r="I12" s="211"/>
      <c r="J12" s="211"/>
    </row>
    <row r="13" spans="1:10" x14ac:dyDescent="0.2">
      <c r="A13" s="18" t="s">
        <v>50</v>
      </c>
      <c r="B13" s="19">
        <v>2464</v>
      </c>
      <c r="C13" s="211">
        <v>0</v>
      </c>
      <c r="D13" s="211">
        <v>0</v>
      </c>
      <c r="E13" s="243">
        <f t="shared" si="0"/>
        <v>0</v>
      </c>
      <c r="F13" s="243">
        <f t="shared" si="1"/>
        <v>0</v>
      </c>
      <c r="G13" s="243">
        <f t="shared" si="2"/>
        <v>0</v>
      </c>
      <c r="I13" s="211"/>
      <c r="J13" s="211"/>
    </row>
    <row r="14" spans="1:10" x14ac:dyDescent="0.2">
      <c r="A14" s="18" t="s">
        <v>51</v>
      </c>
      <c r="B14" s="19">
        <v>2004</v>
      </c>
      <c r="C14" s="211">
        <v>7.5000000000000426</v>
      </c>
      <c r="D14" s="211">
        <v>0</v>
      </c>
      <c r="E14" s="243">
        <f t="shared" si="0"/>
        <v>8997.6000000000513</v>
      </c>
      <c r="F14" s="243">
        <f t="shared" si="1"/>
        <v>0</v>
      </c>
      <c r="G14" s="243">
        <f t="shared" si="2"/>
        <v>8997.6000000000513</v>
      </c>
      <c r="I14" s="211"/>
      <c r="J14" s="211"/>
    </row>
    <row r="15" spans="1:10" x14ac:dyDescent="0.2">
      <c r="A15" s="18" t="s">
        <v>52</v>
      </c>
      <c r="B15" s="19">
        <v>2405</v>
      </c>
      <c r="C15" s="211">
        <v>6.5980198019802634</v>
      </c>
      <c r="D15" s="211">
        <v>0</v>
      </c>
      <c r="E15" s="243">
        <f t="shared" si="0"/>
        <v>7915.5123960396832</v>
      </c>
      <c r="F15" s="243">
        <f t="shared" si="1"/>
        <v>0</v>
      </c>
      <c r="G15" s="243">
        <f t="shared" si="2"/>
        <v>7915.5123960396832</v>
      </c>
      <c r="I15" s="211"/>
      <c r="J15" s="211"/>
    </row>
    <row r="16" spans="1:10" x14ac:dyDescent="0.2">
      <c r="A16" s="18" t="s">
        <v>156</v>
      </c>
      <c r="B16" s="19">
        <v>3525</v>
      </c>
      <c r="C16" s="211">
        <v>0</v>
      </c>
      <c r="D16" s="211">
        <v>0</v>
      </c>
      <c r="E16" s="243">
        <f t="shared" si="0"/>
        <v>0</v>
      </c>
      <c r="F16" s="243">
        <f t="shared" si="1"/>
        <v>0</v>
      </c>
      <c r="G16" s="243">
        <f t="shared" si="2"/>
        <v>0</v>
      </c>
      <c r="I16" s="211"/>
      <c r="J16" s="211"/>
    </row>
    <row r="17" spans="1:10" x14ac:dyDescent="0.2">
      <c r="A17" s="18" t="s">
        <v>54</v>
      </c>
      <c r="B17" s="19">
        <v>5201</v>
      </c>
      <c r="C17" s="211">
        <v>0</v>
      </c>
      <c r="D17" s="211">
        <v>0</v>
      </c>
      <c r="E17" s="243">
        <f t="shared" si="0"/>
        <v>0</v>
      </c>
      <c r="F17" s="243">
        <f t="shared" si="1"/>
        <v>0</v>
      </c>
      <c r="G17" s="243">
        <f t="shared" si="2"/>
        <v>0</v>
      </c>
      <c r="I17" s="211"/>
      <c r="J17" s="211"/>
    </row>
    <row r="18" spans="1:10" x14ac:dyDescent="0.2">
      <c r="A18" s="18" t="s">
        <v>157</v>
      </c>
      <c r="B18" s="19">
        <v>2007</v>
      </c>
      <c r="C18" s="211">
        <v>0</v>
      </c>
      <c r="D18" s="211">
        <v>0</v>
      </c>
      <c r="E18" s="243">
        <f t="shared" si="0"/>
        <v>0</v>
      </c>
      <c r="F18" s="243">
        <f t="shared" si="1"/>
        <v>0</v>
      </c>
      <c r="G18" s="243">
        <f t="shared" si="2"/>
        <v>0</v>
      </c>
      <c r="I18" s="211"/>
      <c r="J18" s="211"/>
    </row>
    <row r="19" spans="1:10" x14ac:dyDescent="0.2">
      <c r="A19" s="18" t="s">
        <v>56</v>
      </c>
      <c r="B19" s="19">
        <v>2433</v>
      </c>
      <c r="C19" s="211">
        <v>0</v>
      </c>
      <c r="D19" s="211">
        <v>0</v>
      </c>
      <c r="E19" s="243">
        <f t="shared" si="0"/>
        <v>0</v>
      </c>
      <c r="F19" s="243">
        <f t="shared" si="1"/>
        <v>0</v>
      </c>
      <c r="G19" s="243">
        <f t="shared" si="2"/>
        <v>0</v>
      </c>
      <c r="I19" s="211"/>
      <c r="J19" s="211"/>
    </row>
    <row r="20" spans="1:10" x14ac:dyDescent="0.2">
      <c r="A20" s="18" t="s">
        <v>57</v>
      </c>
      <c r="B20" s="19">
        <v>2432</v>
      </c>
      <c r="C20" s="211">
        <v>0</v>
      </c>
      <c r="D20" s="211">
        <v>0</v>
      </c>
      <c r="E20" s="243">
        <f t="shared" si="0"/>
        <v>0</v>
      </c>
      <c r="F20" s="243">
        <f t="shared" si="1"/>
        <v>0</v>
      </c>
      <c r="G20" s="243">
        <f t="shared" si="2"/>
        <v>0</v>
      </c>
      <c r="I20" s="211"/>
      <c r="J20" s="211"/>
    </row>
    <row r="21" spans="1:10" x14ac:dyDescent="0.2">
      <c r="A21" s="18" t="s">
        <v>59</v>
      </c>
      <c r="B21" s="19">
        <v>2447</v>
      </c>
      <c r="C21" s="211">
        <v>0</v>
      </c>
      <c r="D21" s="211">
        <v>0</v>
      </c>
      <c r="E21" s="243">
        <f t="shared" si="0"/>
        <v>0</v>
      </c>
      <c r="F21" s="243">
        <f t="shared" si="1"/>
        <v>0</v>
      </c>
      <c r="G21" s="243">
        <f t="shared" si="2"/>
        <v>0</v>
      </c>
      <c r="I21" s="211"/>
      <c r="J21" s="211"/>
    </row>
    <row r="22" spans="1:10" x14ac:dyDescent="0.2">
      <c r="A22" s="18" t="s">
        <v>60</v>
      </c>
      <c r="B22" s="19">
        <v>2512</v>
      </c>
      <c r="C22" s="211">
        <v>0</v>
      </c>
      <c r="D22" s="211">
        <v>0</v>
      </c>
      <c r="E22" s="243">
        <f t="shared" si="0"/>
        <v>0</v>
      </c>
      <c r="F22" s="243">
        <f t="shared" si="1"/>
        <v>0</v>
      </c>
      <c r="G22" s="243">
        <f t="shared" si="2"/>
        <v>0</v>
      </c>
      <c r="I22" s="211"/>
      <c r="J22" s="211"/>
    </row>
    <row r="23" spans="1:10" x14ac:dyDescent="0.2">
      <c r="A23" s="18" t="s">
        <v>61</v>
      </c>
      <c r="B23" s="19">
        <v>2456</v>
      </c>
      <c r="C23" s="211">
        <v>0</v>
      </c>
      <c r="D23" s="211">
        <v>0</v>
      </c>
      <c r="E23" s="243">
        <f t="shared" si="0"/>
        <v>0</v>
      </c>
      <c r="F23" s="243">
        <f t="shared" si="1"/>
        <v>0</v>
      </c>
      <c r="G23" s="243">
        <f t="shared" si="2"/>
        <v>0</v>
      </c>
      <c r="I23" s="211"/>
      <c r="J23" s="211"/>
    </row>
    <row r="24" spans="1:10" x14ac:dyDescent="0.2">
      <c r="A24" s="18" t="s">
        <v>62</v>
      </c>
      <c r="B24" s="19">
        <v>2449</v>
      </c>
      <c r="C24" s="211">
        <v>0</v>
      </c>
      <c r="D24" s="211">
        <v>0</v>
      </c>
      <c r="E24" s="243">
        <f t="shared" si="0"/>
        <v>0</v>
      </c>
      <c r="F24" s="243">
        <f t="shared" si="1"/>
        <v>0</v>
      </c>
      <c r="G24" s="243">
        <f t="shared" si="2"/>
        <v>0</v>
      </c>
      <c r="I24" s="211"/>
      <c r="J24" s="211"/>
    </row>
    <row r="25" spans="1:10" x14ac:dyDescent="0.2">
      <c r="A25" s="18" t="s">
        <v>63</v>
      </c>
      <c r="B25" s="19">
        <v>2448</v>
      </c>
      <c r="C25" s="211">
        <v>0</v>
      </c>
      <c r="D25" s="211">
        <v>0</v>
      </c>
      <c r="E25" s="243">
        <f t="shared" si="0"/>
        <v>0</v>
      </c>
      <c r="F25" s="243">
        <f t="shared" si="1"/>
        <v>0</v>
      </c>
      <c r="G25" s="243">
        <f t="shared" si="2"/>
        <v>0</v>
      </c>
      <c r="I25" s="211"/>
      <c r="J25" s="211"/>
    </row>
    <row r="26" spans="1:10" x14ac:dyDescent="0.2">
      <c r="A26" s="18" t="s">
        <v>193</v>
      </c>
      <c r="B26" s="19">
        <v>2467</v>
      </c>
      <c r="C26" s="211">
        <v>0</v>
      </c>
      <c r="D26" s="211">
        <v>0</v>
      </c>
      <c r="E26" s="243">
        <f t="shared" si="0"/>
        <v>0</v>
      </c>
      <c r="F26" s="243">
        <f t="shared" si="1"/>
        <v>0</v>
      </c>
      <c r="G26" s="243">
        <f t="shared" si="2"/>
        <v>0</v>
      </c>
      <c r="I26" s="211"/>
      <c r="J26" s="211"/>
    </row>
    <row r="27" spans="1:10" x14ac:dyDescent="0.2">
      <c r="A27" s="18" t="s">
        <v>65</v>
      </c>
      <c r="B27" s="19">
        <v>2455</v>
      </c>
      <c r="C27" s="211">
        <v>0</v>
      </c>
      <c r="D27" s="211">
        <v>0</v>
      </c>
      <c r="E27" s="243">
        <f t="shared" si="0"/>
        <v>0</v>
      </c>
      <c r="F27" s="243">
        <f t="shared" si="1"/>
        <v>0</v>
      </c>
      <c r="G27" s="243">
        <f t="shared" si="2"/>
        <v>0</v>
      </c>
      <c r="I27" s="211"/>
      <c r="J27" s="211"/>
    </row>
    <row r="28" spans="1:10" x14ac:dyDescent="0.2">
      <c r="A28" s="18" t="s">
        <v>66</v>
      </c>
      <c r="B28" s="19">
        <v>5203</v>
      </c>
      <c r="C28" s="211">
        <v>0</v>
      </c>
      <c r="D28" s="211">
        <v>0</v>
      </c>
      <c r="E28" s="243">
        <f t="shared" si="0"/>
        <v>0</v>
      </c>
      <c r="F28" s="243">
        <f t="shared" si="1"/>
        <v>0</v>
      </c>
      <c r="G28" s="243">
        <f t="shared" si="2"/>
        <v>0</v>
      </c>
      <c r="I28" s="211"/>
      <c r="J28" s="211"/>
    </row>
    <row r="29" spans="1:10" x14ac:dyDescent="0.2">
      <c r="A29" s="18" t="s">
        <v>67</v>
      </c>
      <c r="B29" s="19">
        <v>2451</v>
      </c>
      <c r="C29" s="211">
        <v>0</v>
      </c>
      <c r="D29" s="211">
        <v>0</v>
      </c>
      <c r="E29" s="243">
        <f t="shared" si="0"/>
        <v>0</v>
      </c>
      <c r="F29" s="243">
        <f t="shared" si="1"/>
        <v>0</v>
      </c>
      <c r="G29" s="243">
        <f t="shared" si="2"/>
        <v>0</v>
      </c>
      <c r="I29" s="211"/>
      <c r="J29" s="211"/>
    </row>
    <row r="30" spans="1:10" x14ac:dyDescent="0.2">
      <c r="A30" s="18" t="s">
        <v>68</v>
      </c>
      <c r="B30" s="19">
        <v>2409</v>
      </c>
      <c r="C30" s="211">
        <v>0</v>
      </c>
      <c r="D30" s="211">
        <v>0</v>
      </c>
      <c r="E30" s="243">
        <f t="shared" si="0"/>
        <v>0</v>
      </c>
      <c r="F30" s="243">
        <f t="shared" si="1"/>
        <v>0</v>
      </c>
      <c r="G30" s="243">
        <f t="shared" si="2"/>
        <v>0</v>
      </c>
      <c r="I30" s="211"/>
      <c r="J30" s="211"/>
    </row>
    <row r="31" spans="1:10" x14ac:dyDescent="0.2">
      <c r="A31" s="18" t="s">
        <v>159</v>
      </c>
      <c r="B31" s="19">
        <v>3158</v>
      </c>
      <c r="C31" s="211">
        <v>0</v>
      </c>
      <c r="D31" s="211">
        <v>0</v>
      </c>
      <c r="E31" s="243">
        <f t="shared" si="0"/>
        <v>0</v>
      </c>
      <c r="F31" s="243">
        <f t="shared" si="1"/>
        <v>0</v>
      </c>
      <c r="G31" s="243">
        <f t="shared" si="2"/>
        <v>0</v>
      </c>
      <c r="I31" s="211"/>
      <c r="J31" s="211"/>
    </row>
    <row r="32" spans="1:10" x14ac:dyDescent="0.2">
      <c r="A32" s="18" t="s">
        <v>69</v>
      </c>
      <c r="B32" s="19">
        <v>2619</v>
      </c>
      <c r="C32" s="211">
        <v>0</v>
      </c>
      <c r="D32" s="211">
        <v>0</v>
      </c>
      <c r="E32" s="243">
        <f t="shared" si="0"/>
        <v>0</v>
      </c>
      <c r="F32" s="243">
        <f t="shared" si="1"/>
        <v>0</v>
      </c>
      <c r="G32" s="243">
        <f t="shared" si="2"/>
        <v>0</v>
      </c>
      <c r="I32" s="211"/>
      <c r="J32" s="211"/>
    </row>
    <row r="33" spans="1:10" x14ac:dyDescent="0.2">
      <c r="A33" s="18" t="s">
        <v>70</v>
      </c>
      <c r="B33" s="19">
        <v>2518</v>
      </c>
      <c r="C33" s="211">
        <v>56.300000000000132</v>
      </c>
      <c r="D33" s="211">
        <v>0</v>
      </c>
      <c r="E33" s="243">
        <f t="shared" si="0"/>
        <v>67541.984000000157</v>
      </c>
      <c r="F33" s="243">
        <f t="shared" si="1"/>
        <v>0</v>
      </c>
      <c r="G33" s="243">
        <f t="shared" si="2"/>
        <v>67541.984000000157</v>
      </c>
      <c r="I33" s="211"/>
      <c r="J33" s="211"/>
    </row>
    <row r="34" spans="1:10" x14ac:dyDescent="0.2">
      <c r="A34" s="18" t="s">
        <v>71</v>
      </c>
      <c r="B34" s="19">
        <v>2457</v>
      </c>
      <c r="C34" s="211">
        <v>0</v>
      </c>
      <c r="D34" s="211">
        <v>0</v>
      </c>
      <c r="E34" s="243">
        <f t="shared" si="0"/>
        <v>0</v>
      </c>
      <c r="F34" s="243">
        <f t="shared" si="1"/>
        <v>0</v>
      </c>
      <c r="G34" s="243">
        <f t="shared" si="2"/>
        <v>0</v>
      </c>
      <c r="I34" s="211"/>
      <c r="J34" s="211"/>
    </row>
    <row r="35" spans="1:10" x14ac:dyDescent="0.2">
      <c r="A35" s="18" t="s">
        <v>160</v>
      </c>
      <c r="B35" s="19">
        <v>2010</v>
      </c>
      <c r="C35" s="211">
        <v>0</v>
      </c>
      <c r="D35" s="211">
        <v>0</v>
      </c>
      <c r="E35" s="243">
        <f t="shared" si="0"/>
        <v>0</v>
      </c>
      <c r="F35" s="243">
        <f t="shared" si="1"/>
        <v>0</v>
      </c>
      <c r="G35" s="243">
        <f t="shared" si="2"/>
        <v>0</v>
      </c>
      <c r="H35" s="223" t="s">
        <v>268</v>
      </c>
      <c r="I35" s="211"/>
      <c r="J35" s="211"/>
    </row>
    <row r="36" spans="1:10" x14ac:dyDescent="0.2">
      <c r="A36" s="18" t="s">
        <v>73</v>
      </c>
      <c r="B36" s="19">
        <v>2002</v>
      </c>
      <c r="C36" s="211">
        <v>0</v>
      </c>
      <c r="D36" s="211">
        <v>0</v>
      </c>
      <c r="E36" s="243">
        <f t="shared" si="0"/>
        <v>0</v>
      </c>
      <c r="F36" s="243">
        <f t="shared" si="1"/>
        <v>0</v>
      </c>
      <c r="G36" s="243">
        <f t="shared" si="2"/>
        <v>0</v>
      </c>
      <c r="I36" s="211"/>
      <c r="J36" s="211"/>
    </row>
    <row r="37" spans="1:10" x14ac:dyDescent="0.2">
      <c r="A37" s="18" t="s">
        <v>74</v>
      </c>
      <c r="B37" s="19">
        <v>3544</v>
      </c>
      <c r="C37" s="211">
        <v>0</v>
      </c>
      <c r="D37" s="211">
        <v>0</v>
      </c>
      <c r="E37" s="243">
        <f t="shared" si="0"/>
        <v>0</v>
      </c>
      <c r="F37" s="243">
        <f t="shared" si="1"/>
        <v>0</v>
      </c>
      <c r="G37" s="243">
        <f t="shared" si="2"/>
        <v>0</v>
      </c>
      <c r="I37" s="211"/>
      <c r="J37" s="211"/>
    </row>
    <row r="38" spans="1:10" x14ac:dyDescent="0.2">
      <c r="A38" s="18" t="s">
        <v>161</v>
      </c>
      <c r="B38" s="19">
        <v>2006</v>
      </c>
      <c r="C38" s="211">
        <v>0</v>
      </c>
      <c r="D38" s="211">
        <v>0</v>
      </c>
      <c r="E38" s="243">
        <f t="shared" si="0"/>
        <v>0</v>
      </c>
      <c r="F38" s="243">
        <f t="shared" si="1"/>
        <v>0</v>
      </c>
      <c r="G38" s="243">
        <f t="shared" si="2"/>
        <v>0</v>
      </c>
      <c r="I38" s="211"/>
      <c r="J38" s="211"/>
    </row>
    <row r="39" spans="1:10" x14ac:dyDescent="0.2">
      <c r="A39" s="18" t="s">
        <v>76</v>
      </c>
      <c r="B39" s="19">
        <v>2434</v>
      </c>
      <c r="C39" s="211">
        <v>27.92257336343112</v>
      </c>
      <c r="D39" s="211">
        <v>0</v>
      </c>
      <c r="E39" s="243">
        <f t="shared" si="0"/>
        <v>33498.152812641049</v>
      </c>
      <c r="F39" s="243">
        <f t="shared" si="1"/>
        <v>0</v>
      </c>
      <c r="G39" s="243">
        <f t="shared" si="2"/>
        <v>33498.152812641049</v>
      </c>
      <c r="I39" s="211"/>
      <c r="J39" s="211"/>
    </row>
    <row r="40" spans="1:10" x14ac:dyDescent="0.2">
      <c r="A40" s="18" t="s">
        <v>77</v>
      </c>
      <c r="B40" s="19">
        <v>2522</v>
      </c>
      <c r="C40" s="211">
        <v>0</v>
      </c>
      <c r="D40" s="211">
        <v>0</v>
      </c>
      <c r="E40" s="243">
        <f t="shared" si="0"/>
        <v>0</v>
      </c>
      <c r="F40" s="243">
        <f t="shared" si="1"/>
        <v>0</v>
      </c>
      <c r="G40" s="243">
        <f t="shared" si="2"/>
        <v>0</v>
      </c>
      <c r="I40" s="211"/>
      <c r="J40" s="211"/>
    </row>
    <row r="41" spans="1:10" x14ac:dyDescent="0.2">
      <c r="A41" s="18" t="s">
        <v>78</v>
      </c>
      <c r="B41" s="19">
        <v>2436</v>
      </c>
      <c r="C41" s="211">
        <v>0</v>
      </c>
      <c r="D41" s="211">
        <v>0</v>
      </c>
      <c r="E41" s="243">
        <f t="shared" si="0"/>
        <v>0</v>
      </c>
      <c r="F41" s="243">
        <f t="shared" si="1"/>
        <v>0</v>
      </c>
      <c r="G41" s="243">
        <f t="shared" si="2"/>
        <v>0</v>
      </c>
      <c r="I41" s="211"/>
      <c r="J41" s="211"/>
    </row>
    <row r="42" spans="1:10" x14ac:dyDescent="0.2">
      <c r="A42" s="18" t="s">
        <v>79</v>
      </c>
      <c r="B42" s="19">
        <v>2452</v>
      </c>
      <c r="C42" s="211">
        <v>0</v>
      </c>
      <c r="D42" s="211">
        <v>0</v>
      </c>
      <c r="E42" s="243">
        <f t="shared" si="0"/>
        <v>0</v>
      </c>
      <c r="F42" s="243">
        <f t="shared" si="1"/>
        <v>0</v>
      </c>
      <c r="G42" s="243">
        <f t="shared" si="2"/>
        <v>0</v>
      </c>
      <c r="I42" s="211"/>
      <c r="J42" s="211"/>
    </row>
    <row r="43" spans="1:10" x14ac:dyDescent="0.2">
      <c r="A43" s="18" t="s">
        <v>80</v>
      </c>
      <c r="B43" s="19">
        <v>2627</v>
      </c>
      <c r="C43" s="211">
        <v>0</v>
      </c>
      <c r="D43" s="211">
        <v>0</v>
      </c>
      <c r="E43" s="243">
        <f t="shared" si="0"/>
        <v>0</v>
      </c>
      <c r="F43" s="243">
        <f t="shared" si="1"/>
        <v>0</v>
      </c>
      <c r="G43" s="243">
        <f t="shared" si="2"/>
        <v>0</v>
      </c>
      <c r="I43" s="211"/>
      <c r="J43" s="211"/>
    </row>
    <row r="44" spans="1:10" x14ac:dyDescent="0.2">
      <c r="A44" s="18" t="s">
        <v>81</v>
      </c>
      <c r="B44" s="19">
        <v>2009</v>
      </c>
      <c r="C44" s="211">
        <v>0</v>
      </c>
      <c r="D44" s="211">
        <v>0</v>
      </c>
      <c r="E44" s="243">
        <f t="shared" si="0"/>
        <v>0</v>
      </c>
      <c r="F44" s="243">
        <f t="shared" si="1"/>
        <v>0</v>
      </c>
      <c r="G44" s="243">
        <f t="shared" si="2"/>
        <v>0</v>
      </c>
      <c r="I44" s="211"/>
      <c r="J44" s="211"/>
    </row>
    <row r="45" spans="1:10" x14ac:dyDescent="0.2">
      <c r="A45" s="18" t="s">
        <v>162</v>
      </c>
      <c r="B45" s="19">
        <v>2473</v>
      </c>
      <c r="C45" s="211">
        <v>0</v>
      </c>
      <c r="D45" s="211">
        <v>0</v>
      </c>
      <c r="E45" s="243">
        <f t="shared" si="0"/>
        <v>0</v>
      </c>
      <c r="F45" s="243">
        <f t="shared" si="1"/>
        <v>0</v>
      </c>
      <c r="G45" s="243">
        <f t="shared" si="2"/>
        <v>0</v>
      </c>
      <c r="I45" s="211"/>
      <c r="J45" s="211"/>
    </row>
    <row r="46" spans="1:10" x14ac:dyDescent="0.2">
      <c r="A46" s="18" t="s">
        <v>84</v>
      </c>
      <c r="B46" s="19">
        <v>2471</v>
      </c>
      <c r="C46" s="211">
        <v>0</v>
      </c>
      <c r="D46" s="211">
        <v>0</v>
      </c>
      <c r="E46" s="243">
        <f t="shared" si="0"/>
        <v>0</v>
      </c>
      <c r="F46" s="243">
        <f t="shared" si="1"/>
        <v>0</v>
      </c>
      <c r="G46" s="243">
        <f t="shared" si="2"/>
        <v>0</v>
      </c>
      <c r="I46" s="211"/>
      <c r="J46" s="211"/>
    </row>
    <row r="47" spans="1:10" x14ac:dyDescent="0.2">
      <c r="A47" s="18" t="s">
        <v>82</v>
      </c>
      <c r="B47" s="19">
        <v>2420</v>
      </c>
      <c r="C47" s="211">
        <v>50.499999999999808</v>
      </c>
      <c r="D47" s="211">
        <v>0</v>
      </c>
      <c r="E47" s="243">
        <f t="shared" si="0"/>
        <v>60583.839999999771</v>
      </c>
      <c r="F47" s="243">
        <f t="shared" si="1"/>
        <v>0</v>
      </c>
      <c r="G47" s="243">
        <f t="shared" si="2"/>
        <v>60583.839999999771</v>
      </c>
      <c r="I47" s="211"/>
      <c r="J47" s="211"/>
    </row>
    <row r="48" spans="1:10" x14ac:dyDescent="0.2">
      <c r="A48" s="18" t="s">
        <v>85</v>
      </c>
      <c r="B48" s="19">
        <v>2003</v>
      </c>
      <c r="C48" s="211">
        <v>0</v>
      </c>
      <c r="D48" s="211">
        <v>0</v>
      </c>
      <c r="E48" s="243">
        <f t="shared" si="0"/>
        <v>0</v>
      </c>
      <c r="F48" s="243">
        <f t="shared" si="1"/>
        <v>0</v>
      </c>
      <c r="G48" s="243">
        <f t="shared" si="2"/>
        <v>0</v>
      </c>
      <c r="I48" s="211"/>
      <c r="J48" s="211"/>
    </row>
    <row r="49" spans="1:10" x14ac:dyDescent="0.2">
      <c r="A49" s="18" t="s">
        <v>86</v>
      </c>
      <c r="B49" s="19">
        <v>2423</v>
      </c>
      <c r="C49" s="211">
        <v>24.199999999999825</v>
      </c>
      <c r="D49" s="211">
        <v>0</v>
      </c>
      <c r="E49" s="243">
        <f t="shared" si="0"/>
        <v>29032.25599999979</v>
      </c>
      <c r="F49" s="243">
        <f t="shared" si="1"/>
        <v>0</v>
      </c>
      <c r="G49" s="243">
        <f t="shared" si="2"/>
        <v>29032.25599999979</v>
      </c>
      <c r="I49" s="211"/>
      <c r="J49" s="211"/>
    </row>
    <row r="50" spans="1:10" x14ac:dyDescent="0.2">
      <c r="A50" s="18" t="s">
        <v>87</v>
      </c>
      <c r="B50" s="19">
        <v>2424</v>
      </c>
      <c r="C50" s="211">
        <v>5.3000000000001064</v>
      </c>
      <c r="D50" s="211">
        <v>0</v>
      </c>
      <c r="E50" s="243">
        <f t="shared" si="0"/>
        <v>6358.3040000001283</v>
      </c>
      <c r="F50" s="243">
        <f t="shared" si="1"/>
        <v>0</v>
      </c>
      <c r="G50" s="243">
        <f t="shared" si="2"/>
        <v>6358.3040000001283</v>
      </c>
      <c r="I50" s="211"/>
      <c r="J50" s="211"/>
    </row>
    <row r="51" spans="1:10" x14ac:dyDescent="0.2">
      <c r="A51" s="18" t="s">
        <v>88</v>
      </c>
      <c r="B51" s="19">
        <v>2439</v>
      </c>
      <c r="C51" s="211">
        <v>0</v>
      </c>
      <c r="D51" s="211">
        <v>0</v>
      </c>
      <c r="E51" s="243">
        <f t="shared" si="0"/>
        <v>0</v>
      </c>
      <c r="F51" s="243">
        <f t="shared" si="1"/>
        <v>0</v>
      </c>
      <c r="G51" s="243">
        <f t="shared" si="2"/>
        <v>0</v>
      </c>
      <c r="I51" s="211"/>
      <c r="J51" s="211"/>
    </row>
    <row r="52" spans="1:10" x14ac:dyDescent="0.2">
      <c r="A52" s="18" t="s">
        <v>89</v>
      </c>
      <c r="B52" s="19">
        <v>2440</v>
      </c>
      <c r="C52" s="211">
        <v>0</v>
      </c>
      <c r="D52" s="211">
        <v>0</v>
      </c>
      <c r="E52" s="243">
        <f t="shared" si="0"/>
        <v>0</v>
      </c>
      <c r="F52" s="243">
        <f t="shared" si="1"/>
        <v>0</v>
      </c>
      <c r="G52" s="243">
        <f t="shared" si="2"/>
        <v>0</v>
      </c>
      <c r="I52" s="211"/>
      <c r="J52" s="211"/>
    </row>
    <row r="53" spans="1:10" x14ac:dyDescent="0.2">
      <c r="A53" s="18" t="s">
        <v>163</v>
      </c>
      <c r="B53" s="19">
        <v>2462</v>
      </c>
      <c r="C53" s="211">
        <v>0</v>
      </c>
      <c r="D53" s="211">
        <v>0</v>
      </c>
      <c r="E53" s="243">
        <f t="shared" si="0"/>
        <v>0</v>
      </c>
      <c r="F53" s="243">
        <f t="shared" si="1"/>
        <v>0</v>
      </c>
      <c r="G53" s="243">
        <f t="shared" si="2"/>
        <v>0</v>
      </c>
      <c r="I53" s="211"/>
      <c r="J53" s="211"/>
    </row>
    <row r="54" spans="1:10" x14ac:dyDescent="0.2">
      <c r="A54" s="18" t="s">
        <v>91</v>
      </c>
      <c r="B54" s="19">
        <v>2463</v>
      </c>
      <c r="C54" s="211">
        <v>0</v>
      </c>
      <c r="D54" s="211">
        <v>0</v>
      </c>
      <c r="E54" s="243">
        <f t="shared" si="0"/>
        <v>0</v>
      </c>
      <c r="F54" s="243">
        <f t="shared" si="1"/>
        <v>0</v>
      </c>
      <c r="G54" s="243">
        <f t="shared" si="2"/>
        <v>0</v>
      </c>
      <c r="I54" s="211"/>
      <c r="J54" s="211"/>
    </row>
    <row r="55" spans="1:10" x14ac:dyDescent="0.2">
      <c r="A55" s="18" t="s">
        <v>92</v>
      </c>
      <c r="B55" s="19">
        <v>2505</v>
      </c>
      <c r="C55" s="211">
        <v>0.70000000000015072</v>
      </c>
      <c r="D55" s="211">
        <v>0</v>
      </c>
      <c r="E55" s="243">
        <f t="shared" si="0"/>
        <v>839.77600000018083</v>
      </c>
      <c r="F55" s="243">
        <f t="shared" si="1"/>
        <v>0</v>
      </c>
      <c r="G55" s="243">
        <f t="shared" si="2"/>
        <v>839.77600000018083</v>
      </c>
      <c r="I55" s="211"/>
      <c r="J55" s="211"/>
    </row>
    <row r="56" spans="1:10" x14ac:dyDescent="0.2">
      <c r="A56" s="18" t="s">
        <v>93</v>
      </c>
      <c r="B56" s="19">
        <v>2000</v>
      </c>
      <c r="C56" s="211">
        <v>12.261437908496836</v>
      </c>
      <c r="D56" s="211">
        <v>0</v>
      </c>
      <c r="E56" s="243">
        <f t="shared" si="0"/>
        <v>14709.801830065486</v>
      </c>
      <c r="F56" s="243">
        <f t="shared" si="1"/>
        <v>0</v>
      </c>
      <c r="G56" s="243">
        <f t="shared" si="2"/>
        <v>14709.801830065486</v>
      </c>
      <c r="I56" s="211"/>
      <c r="J56" s="211"/>
    </row>
    <row r="57" spans="1:10" x14ac:dyDescent="0.2">
      <c r="A57" s="18" t="s">
        <v>94</v>
      </c>
      <c r="B57" s="19">
        <v>2458</v>
      </c>
      <c r="C57" s="211">
        <v>0</v>
      </c>
      <c r="D57" s="211">
        <v>0</v>
      </c>
      <c r="E57" s="243">
        <f t="shared" si="0"/>
        <v>0</v>
      </c>
      <c r="F57" s="243">
        <f t="shared" si="1"/>
        <v>0</v>
      </c>
      <c r="G57" s="243">
        <f t="shared" si="2"/>
        <v>0</v>
      </c>
      <c r="I57" s="211"/>
      <c r="J57" s="211"/>
    </row>
    <row r="58" spans="1:10" x14ac:dyDescent="0.2">
      <c r="A58" s="18" t="s">
        <v>95</v>
      </c>
      <c r="B58" s="19">
        <v>2001</v>
      </c>
      <c r="C58" s="211">
        <v>4.9000000000001638</v>
      </c>
      <c r="D58" s="211">
        <v>0</v>
      </c>
      <c r="E58" s="243">
        <f t="shared" si="0"/>
        <v>5878.4320000001971</v>
      </c>
      <c r="F58" s="243">
        <f t="shared" si="1"/>
        <v>0</v>
      </c>
      <c r="G58" s="243">
        <f t="shared" si="2"/>
        <v>5878.4320000001971</v>
      </c>
      <c r="I58" s="211"/>
      <c r="J58" s="211"/>
    </row>
    <row r="59" spans="1:10" x14ac:dyDescent="0.2">
      <c r="A59" s="18" t="s">
        <v>96</v>
      </c>
      <c r="B59" s="19">
        <v>2429</v>
      </c>
      <c r="C59" s="211">
        <v>0</v>
      </c>
      <c r="D59" s="211">
        <v>0</v>
      </c>
      <c r="E59" s="243">
        <f t="shared" si="0"/>
        <v>0</v>
      </c>
      <c r="F59" s="243">
        <f t="shared" si="1"/>
        <v>0</v>
      </c>
      <c r="G59" s="243">
        <f t="shared" si="2"/>
        <v>0</v>
      </c>
      <c r="I59" s="211"/>
      <c r="J59" s="211"/>
    </row>
    <row r="60" spans="1:10" x14ac:dyDescent="0.2">
      <c r="A60" s="18" t="s">
        <v>97</v>
      </c>
      <c r="B60" s="19">
        <v>2444</v>
      </c>
      <c r="C60" s="211">
        <v>0</v>
      </c>
      <c r="D60" s="211">
        <v>0</v>
      </c>
      <c r="E60" s="243">
        <f t="shared" si="0"/>
        <v>0</v>
      </c>
      <c r="F60" s="243">
        <f t="shared" si="1"/>
        <v>0</v>
      </c>
      <c r="G60" s="243">
        <f t="shared" si="2"/>
        <v>0</v>
      </c>
      <c r="I60" s="211"/>
      <c r="J60" s="211"/>
    </row>
    <row r="61" spans="1:10" x14ac:dyDescent="0.2">
      <c r="A61" s="18" t="s">
        <v>98</v>
      </c>
      <c r="B61" s="19">
        <v>5209</v>
      </c>
      <c r="C61" s="211">
        <v>0</v>
      </c>
      <c r="D61" s="211">
        <v>0</v>
      </c>
      <c r="E61" s="243">
        <f t="shared" si="0"/>
        <v>0</v>
      </c>
      <c r="F61" s="243">
        <f t="shared" si="1"/>
        <v>0</v>
      </c>
      <c r="G61" s="243">
        <f t="shared" si="2"/>
        <v>0</v>
      </c>
      <c r="I61" s="211"/>
      <c r="J61" s="211"/>
    </row>
    <row r="62" spans="1:10" x14ac:dyDescent="0.2">
      <c r="A62" s="18" t="s">
        <v>99</v>
      </c>
      <c r="B62" s="19">
        <v>2469</v>
      </c>
      <c r="C62" s="211">
        <v>22.800000000000118</v>
      </c>
      <c r="D62" s="211">
        <v>0</v>
      </c>
      <c r="E62" s="243">
        <f t="shared" si="0"/>
        <v>27352.704000000143</v>
      </c>
      <c r="F62" s="243">
        <f t="shared" si="1"/>
        <v>0</v>
      </c>
      <c r="G62" s="243">
        <f t="shared" si="2"/>
        <v>27352.704000000143</v>
      </c>
      <c r="I62" s="211"/>
      <c r="J62" s="211"/>
    </row>
    <row r="63" spans="1:10" x14ac:dyDescent="0.2">
      <c r="A63" s="18" t="s">
        <v>100</v>
      </c>
      <c r="B63" s="19">
        <v>2430</v>
      </c>
      <c r="C63" s="211">
        <v>2.7000000000000539</v>
      </c>
      <c r="D63" s="211">
        <v>0</v>
      </c>
      <c r="E63" s="243">
        <f t="shared" si="0"/>
        <v>3239.136000000065</v>
      </c>
      <c r="F63" s="243">
        <f t="shared" si="1"/>
        <v>0</v>
      </c>
      <c r="G63" s="243">
        <f t="shared" si="2"/>
        <v>3239.136000000065</v>
      </c>
      <c r="I63" s="211"/>
      <c r="J63" s="211"/>
    </row>
    <row r="64" spans="1:10" x14ac:dyDescent="0.2">
      <c r="A64" s="18" t="s">
        <v>101</v>
      </c>
      <c r="B64" s="19">
        <v>2466</v>
      </c>
      <c r="C64" s="211">
        <v>14.470588235294107</v>
      </c>
      <c r="D64" s="211">
        <v>0</v>
      </c>
      <c r="E64" s="243">
        <f t="shared" si="0"/>
        <v>17360.075294117636</v>
      </c>
      <c r="F64" s="243">
        <f t="shared" si="1"/>
        <v>0</v>
      </c>
      <c r="G64" s="243">
        <f t="shared" si="2"/>
        <v>17360.075294117636</v>
      </c>
      <c r="I64" s="211"/>
      <c r="J64" s="211"/>
    </row>
    <row r="65" spans="1:10" x14ac:dyDescent="0.2">
      <c r="A65" s="18" t="s">
        <v>102</v>
      </c>
      <c r="B65" s="19">
        <v>3543</v>
      </c>
      <c r="C65" s="211">
        <v>0</v>
      </c>
      <c r="D65" s="211">
        <v>0</v>
      </c>
      <c r="E65" s="243">
        <f t="shared" si="0"/>
        <v>0</v>
      </c>
      <c r="F65" s="243">
        <f t="shared" si="1"/>
        <v>0</v>
      </c>
      <c r="G65" s="243">
        <f t="shared" si="2"/>
        <v>0</v>
      </c>
      <c r="I65" s="211"/>
      <c r="J65" s="211"/>
    </row>
    <row r="66" spans="1:10" x14ac:dyDescent="0.2">
      <c r="A66" s="18" t="s">
        <v>104</v>
      </c>
      <c r="B66" s="19">
        <v>3531</v>
      </c>
      <c r="C66" s="211">
        <v>0</v>
      </c>
      <c r="D66" s="211">
        <v>0</v>
      </c>
      <c r="E66" s="243">
        <f t="shared" si="0"/>
        <v>0</v>
      </c>
      <c r="F66" s="243">
        <f t="shared" si="1"/>
        <v>0</v>
      </c>
      <c r="G66" s="243">
        <f t="shared" si="2"/>
        <v>0</v>
      </c>
      <c r="I66" s="211"/>
      <c r="J66" s="211"/>
    </row>
    <row r="67" spans="1:10" x14ac:dyDescent="0.2">
      <c r="A67" s="18" t="s">
        <v>164</v>
      </c>
      <c r="B67" s="19">
        <v>3526</v>
      </c>
      <c r="C67" s="211">
        <v>0.69999999999999629</v>
      </c>
      <c r="D67" s="211">
        <v>0</v>
      </c>
      <c r="E67" s="243">
        <f t="shared" si="0"/>
        <v>839.77599999999563</v>
      </c>
      <c r="F67" s="243">
        <f t="shared" si="1"/>
        <v>0</v>
      </c>
      <c r="G67" s="243">
        <f t="shared" si="2"/>
        <v>839.77599999999563</v>
      </c>
      <c r="I67" s="211"/>
      <c r="J67" s="211"/>
    </row>
    <row r="68" spans="1:10" x14ac:dyDescent="0.2">
      <c r="A68" s="18" t="s">
        <v>165</v>
      </c>
      <c r="B68" s="19">
        <v>3535</v>
      </c>
      <c r="C68" s="211">
        <v>0</v>
      </c>
      <c r="D68" s="211">
        <v>0</v>
      </c>
      <c r="E68" s="243">
        <f t="shared" si="0"/>
        <v>0</v>
      </c>
      <c r="F68" s="243">
        <f t="shared" si="1"/>
        <v>0</v>
      </c>
      <c r="G68" s="243">
        <f t="shared" si="2"/>
        <v>0</v>
      </c>
      <c r="I68" s="211"/>
      <c r="J68" s="211"/>
    </row>
    <row r="69" spans="1:10" x14ac:dyDescent="0.2">
      <c r="A69" s="21" t="s">
        <v>107</v>
      </c>
      <c r="B69" s="19">
        <v>2008</v>
      </c>
      <c r="C69" s="211">
        <v>0</v>
      </c>
      <c r="D69" s="211">
        <v>0</v>
      </c>
      <c r="E69" s="243">
        <f t="shared" si="0"/>
        <v>0</v>
      </c>
      <c r="F69" s="243">
        <f t="shared" si="1"/>
        <v>0</v>
      </c>
      <c r="G69" s="243">
        <f t="shared" si="2"/>
        <v>0</v>
      </c>
      <c r="I69" s="211"/>
      <c r="J69" s="211"/>
    </row>
    <row r="70" spans="1:10" x14ac:dyDescent="0.2">
      <c r="A70" s="18" t="s">
        <v>166</v>
      </c>
      <c r="B70" s="19">
        <v>3542</v>
      </c>
      <c r="C70" s="211">
        <v>0</v>
      </c>
      <c r="D70" s="211">
        <v>0</v>
      </c>
      <c r="E70" s="243">
        <f t="shared" si="0"/>
        <v>0</v>
      </c>
      <c r="F70" s="243">
        <f t="shared" si="1"/>
        <v>0</v>
      </c>
      <c r="G70" s="243">
        <f t="shared" si="2"/>
        <v>0</v>
      </c>
      <c r="I70" s="211"/>
      <c r="J70" s="211"/>
    </row>
    <row r="71" spans="1:10" x14ac:dyDescent="0.2">
      <c r="A71" s="18" t="s">
        <v>167</v>
      </c>
      <c r="B71" s="19">
        <v>3528</v>
      </c>
      <c r="C71" s="211">
        <v>8.7999999999999972</v>
      </c>
      <c r="D71" s="211">
        <v>0</v>
      </c>
      <c r="E71" s="243">
        <f t="shared" ref="E71:E76" si="3">E$1*C71</f>
        <v>10557.183999999997</v>
      </c>
      <c r="F71" s="243">
        <f t="shared" ref="F71:F76" si="4">F$2*D71</f>
        <v>0</v>
      </c>
      <c r="G71" s="243">
        <f t="shared" ref="G71:G76" si="5">F71+E71</f>
        <v>10557.183999999997</v>
      </c>
      <c r="I71" s="211"/>
      <c r="J71" s="211"/>
    </row>
    <row r="72" spans="1:10" x14ac:dyDescent="0.2">
      <c r="A72" s="18" t="s">
        <v>168</v>
      </c>
      <c r="B72" s="19">
        <v>3534</v>
      </c>
      <c r="C72" s="211">
        <v>0</v>
      </c>
      <c r="D72" s="211">
        <v>0</v>
      </c>
      <c r="E72" s="243">
        <f t="shared" si="3"/>
        <v>0</v>
      </c>
      <c r="F72" s="243">
        <f t="shared" si="4"/>
        <v>0</v>
      </c>
      <c r="G72" s="243">
        <f t="shared" si="5"/>
        <v>0</v>
      </c>
      <c r="I72" s="211"/>
      <c r="J72" s="211"/>
    </row>
    <row r="73" spans="1:10" x14ac:dyDescent="0.2">
      <c r="A73" s="18" t="s">
        <v>169</v>
      </c>
      <c r="B73" s="19">
        <v>3532</v>
      </c>
      <c r="C73" s="211">
        <v>0</v>
      </c>
      <c r="D73" s="211">
        <v>0</v>
      </c>
      <c r="E73" s="243">
        <f t="shared" si="3"/>
        <v>0</v>
      </c>
      <c r="F73" s="243">
        <f t="shared" si="4"/>
        <v>0</v>
      </c>
      <c r="G73" s="243">
        <f t="shared" si="5"/>
        <v>0</v>
      </c>
      <c r="I73" s="211"/>
      <c r="J73" s="211"/>
    </row>
    <row r="74" spans="1:10" x14ac:dyDescent="0.2">
      <c r="A74" s="18" t="s">
        <v>112</v>
      </c>
      <c r="B74" s="19">
        <v>3546</v>
      </c>
      <c r="C74" s="211">
        <v>7.6999999999997719</v>
      </c>
      <c r="D74" s="211">
        <v>0</v>
      </c>
      <c r="E74" s="243">
        <f t="shared" si="3"/>
        <v>9237.5359999997272</v>
      </c>
      <c r="F74" s="243">
        <f t="shared" si="4"/>
        <v>0</v>
      </c>
      <c r="G74" s="243">
        <f t="shared" si="5"/>
        <v>9237.5359999997272</v>
      </c>
      <c r="I74" s="211"/>
      <c r="J74" s="211"/>
    </row>
    <row r="75" spans="1:10" x14ac:dyDescent="0.2">
      <c r="A75" s="18" t="s">
        <v>170</v>
      </c>
      <c r="B75" s="19">
        <v>3530</v>
      </c>
      <c r="C75" s="211">
        <v>0</v>
      </c>
      <c r="D75" s="211">
        <v>0</v>
      </c>
      <c r="E75" s="243">
        <f t="shared" si="3"/>
        <v>0</v>
      </c>
      <c r="F75" s="243">
        <f t="shared" si="4"/>
        <v>0</v>
      </c>
      <c r="G75" s="243">
        <f t="shared" si="5"/>
        <v>0</v>
      </c>
      <c r="I75" s="211"/>
      <c r="J75" s="211"/>
    </row>
    <row r="76" spans="1:10" x14ac:dyDescent="0.2">
      <c r="A76" s="18" t="s">
        <v>114</v>
      </c>
      <c r="B76" s="19">
        <v>2459</v>
      </c>
      <c r="C76" s="211">
        <v>0</v>
      </c>
      <c r="D76" s="211">
        <v>0</v>
      </c>
      <c r="E76" s="243">
        <f t="shared" si="3"/>
        <v>0</v>
      </c>
      <c r="F76" s="243">
        <f t="shared" si="4"/>
        <v>0</v>
      </c>
      <c r="G76" s="243">
        <f t="shared" si="5"/>
        <v>0</v>
      </c>
      <c r="I76" s="211"/>
      <c r="J76" s="211"/>
    </row>
    <row r="77" spans="1:10" x14ac:dyDescent="0.2">
      <c r="A77" s="18"/>
      <c r="B77" s="19"/>
      <c r="C77" s="211"/>
      <c r="D77" s="211"/>
      <c r="E77" s="243"/>
      <c r="F77" s="243"/>
      <c r="G77" s="211"/>
      <c r="I77" s="211"/>
      <c r="J77" s="211"/>
    </row>
    <row r="78" spans="1:10" x14ac:dyDescent="0.2">
      <c r="A78" s="9" t="s">
        <v>171</v>
      </c>
      <c r="B78" s="9" t="s">
        <v>171</v>
      </c>
      <c r="C78" s="222">
        <f>SUM(C7:C76)</f>
        <v>311.33981142742903</v>
      </c>
      <c r="D78" s="222">
        <f>SUM(D7:D76)</f>
        <v>0</v>
      </c>
      <c r="E78" s="222">
        <f>SUM(E7:E76)</f>
        <v>373508.14497325814</v>
      </c>
      <c r="F78" s="222">
        <f>SUM(F7:F76)</f>
        <v>0</v>
      </c>
      <c r="G78" s="222">
        <f>SUM(G7:G76)</f>
        <v>373508.14497325814</v>
      </c>
      <c r="I78" s="222"/>
      <c r="J78" s="222"/>
    </row>
    <row r="79" spans="1:10" x14ac:dyDescent="0.2">
      <c r="A79" s="18"/>
      <c r="B79" s="19"/>
      <c r="C79" s="211"/>
      <c r="D79" s="211"/>
      <c r="E79" s="243"/>
      <c r="F79" s="243"/>
      <c r="G79" s="211"/>
      <c r="I79" s="211"/>
      <c r="J79" s="211"/>
    </row>
    <row r="80" spans="1:10" x14ac:dyDescent="0.2">
      <c r="A80" s="18" t="s">
        <v>127</v>
      </c>
      <c r="B80" s="19">
        <v>5402</v>
      </c>
      <c r="C80" s="211">
        <v>0</v>
      </c>
      <c r="D80" s="211">
        <v>0</v>
      </c>
      <c r="E80" s="243">
        <f>E$1*C80</f>
        <v>0</v>
      </c>
      <c r="F80" s="243">
        <f>F$2*D80</f>
        <v>0</v>
      </c>
      <c r="G80" s="243">
        <f t="shared" ref="G80:G92" si="6">F80+E80</f>
        <v>0</v>
      </c>
      <c r="I80" s="211"/>
      <c r="J80" s="211"/>
    </row>
    <row r="81" spans="1:10" x14ac:dyDescent="0.2">
      <c r="A81" s="18" t="s">
        <v>116</v>
      </c>
      <c r="B81" s="19">
        <v>4608</v>
      </c>
      <c r="C81" s="211">
        <v>0</v>
      </c>
      <c r="D81" s="211">
        <v>0</v>
      </c>
      <c r="E81" s="243">
        <f t="shared" ref="E81:E92" si="7">E$1*C81</f>
        <v>0</v>
      </c>
      <c r="F81" s="243">
        <f t="shared" ref="F81:F92" si="8">F$2*D81</f>
        <v>0</v>
      </c>
      <c r="G81" s="243">
        <f t="shared" si="6"/>
        <v>0</v>
      </c>
      <c r="I81" s="211"/>
      <c r="J81" s="211"/>
    </row>
    <row r="82" spans="1:10" x14ac:dyDescent="0.2">
      <c r="A82" s="18" t="s">
        <v>172</v>
      </c>
      <c r="B82" s="19">
        <v>4178</v>
      </c>
      <c r="C82" s="211">
        <v>0</v>
      </c>
      <c r="D82" s="211">
        <v>0</v>
      </c>
      <c r="E82" s="243">
        <f t="shared" si="7"/>
        <v>0</v>
      </c>
      <c r="F82" s="243">
        <f t="shared" si="8"/>
        <v>0</v>
      </c>
      <c r="G82" s="243">
        <f t="shared" si="6"/>
        <v>0</v>
      </c>
      <c r="I82" s="211"/>
      <c r="J82" s="211"/>
    </row>
    <row r="83" spans="1:10" x14ac:dyDescent="0.2">
      <c r="A83" s="18" t="s">
        <v>118</v>
      </c>
      <c r="B83" s="19">
        <v>4181</v>
      </c>
      <c r="C83" s="211">
        <v>0</v>
      </c>
      <c r="D83" s="211">
        <v>0</v>
      </c>
      <c r="E83" s="243">
        <f t="shared" si="7"/>
        <v>0</v>
      </c>
      <c r="F83" s="243">
        <f t="shared" si="8"/>
        <v>0</v>
      </c>
      <c r="G83" s="243">
        <f t="shared" si="6"/>
        <v>0</v>
      </c>
      <c r="I83" s="211"/>
      <c r="J83" s="211"/>
    </row>
    <row r="84" spans="1:10" x14ac:dyDescent="0.2">
      <c r="A84" s="18" t="s">
        <v>119</v>
      </c>
      <c r="B84" s="19">
        <v>4182</v>
      </c>
      <c r="C84" s="211">
        <v>0</v>
      </c>
      <c r="D84" s="211">
        <v>0</v>
      </c>
      <c r="E84" s="243">
        <f t="shared" si="7"/>
        <v>0</v>
      </c>
      <c r="F84" s="243">
        <f t="shared" si="8"/>
        <v>0</v>
      </c>
      <c r="G84" s="243">
        <f t="shared" si="6"/>
        <v>0</v>
      </c>
      <c r="I84" s="211"/>
      <c r="J84" s="211"/>
    </row>
    <row r="85" spans="1:10" x14ac:dyDescent="0.2">
      <c r="A85" s="18" t="s">
        <v>120</v>
      </c>
      <c r="B85" s="244">
        <v>4001</v>
      </c>
      <c r="C85" s="211">
        <v>0</v>
      </c>
      <c r="D85" s="211">
        <v>0</v>
      </c>
      <c r="E85" s="243">
        <f t="shared" si="7"/>
        <v>0</v>
      </c>
      <c r="F85" s="243">
        <f t="shared" si="8"/>
        <v>0</v>
      </c>
      <c r="G85" s="243">
        <f t="shared" si="6"/>
        <v>0</v>
      </c>
      <c r="H85" s="223" t="s">
        <v>267</v>
      </c>
      <c r="I85" s="211"/>
      <c r="J85" s="211"/>
    </row>
    <row r="86" spans="1:10" x14ac:dyDescent="0.2">
      <c r="A86" s="18" t="s">
        <v>173</v>
      </c>
      <c r="B86" s="19">
        <v>5406</v>
      </c>
      <c r="C86" s="211">
        <v>0</v>
      </c>
      <c r="D86" s="211">
        <v>0</v>
      </c>
      <c r="E86" s="243">
        <f t="shared" si="7"/>
        <v>0</v>
      </c>
      <c r="F86" s="243">
        <f t="shared" si="8"/>
        <v>0</v>
      </c>
      <c r="G86" s="243">
        <f t="shared" si="6"/>
        <v>0</v>
      </c>
      <c r="I86" s="211"/>
      <c r="J86" s="211"/>
    </row>
    <row r="87" spans="1:10" x14ac:dyDescent="0.2">
      <c r="A87" s="18" t="s">
        <v>174</v>
      </c>
      <c r="B87" s="19">
        <v>5407</v>
      </c>
      <c r="C87" s="211">
        <v>0</v>
      </c>
      <c r="D87" s="211">
        <v>0</v>
      </c>
      <c r="E87" s="243">
        <f t="shared" si="7"/>
        <v>0</v>
      </c>
      <c r="F87" s="243">
        <f t="shared" si="8"/>
        <v>0</v>
      </c>
      <c r="G87" s="243">
        <f t="shared" si="6"/>
        <v>0</v>
      </c>
      <c r="I87" s="211"/>
      <c r="J87" s="211"/>
    </row>
    <row r="88" spans="1:10" x14ac:dyDescent="0.2">
      <c r="A88" s="18" t="s">
        <v>123</v>
      </c>
      <c r="B88" s="19">
        <v>4607</v>
      </c>
      <c r="C88" s="211">
        <v>0</v>
      </c>
      <c r="D88" s="211">
        <v>0</v>
      </c>
      <c r="E88" s="243">
        <f t="shared" si="7"/>
        <v>0</v>
      </c>
      <c r="F88" s="243">
        <f t="shared" si="8"/>
        <v>0</v>
      </c>
      <c r="G88" s="243">
        <f t="shared" si="6"/>
        <v>0</v>
      </c>
      <c r="I88" s="211"/>
      <c r="J88" s="211"/>
    </row>
    <row r="89" spans="1:10" x14ac:dyDescent="0.2">
      <c r="A89" s="18" t="s">
        <v>124</v>
      </c>
      <c r="B89" s="244">
        <v>4002</v>
      </c>
      <c r="C89" s="211">
        <v>0</v>
      </c>
      <c r="D89" s="211">
        <v>0</v>
      </c>
      <c r="E89" s="243">
        <f t="shared" si="7"/>
        <v>0</v>
      </c>
      <c r="F89" s="243">
        <f t="shared" si="8"/>
        <v>0</v>
      </c>
      <c r="G89" s="243">
        <f t="shared" si="6"/>
        <v>0</v>
      </c>
      <c r="H89" s="223" t="s">
        <v>267</v>
      </c>
      <c r="I89" s="211"/>
      <c r="J89" s="211"/>
    </row>
    <row r="90" spans="1:10" x14ac:dyDescent="0.2">
      <c r="A90" s="18" t="s">
        <v>175</v>
      </c>
      <c r="B90" s="19">
        <v>4177</v>
      </c>
      <c r="C90" s="211">
        <v>0</v>
      </c>
      <c r="D90" s="211">
        <v>51.611092985317953</v>
      </c>
      <c r="E90" s="243">
        <f t="shared" si="7"/>
        <v>0</v>
      </c>
      <c r="F90" s="243">
        <f t="shared" si="8"/>
        <v>104285.58609161468</v>
      </c>
      <c r="G90" s="243">
        <f t="shared" si="6"/>
        <v>104285.58609161468</v>
      </c>
      <c r="I90" s="211"/>
      <c r="J90" s="211"/>
    </row>
    <row r="91" spans="1:10" x14ac:dyDescent="0.2">
      <c r="A91" s="18" t="s">
        <v>126</v>
      </c>
      <c r="B91" s="19">
        <v>5412</v>
      </c>
      <c r="C91" s="211">
        <v>0</v>
      </c>
      <c r="D91" s="211">
        <v>0</v>
      </c>
      <c r="E91" s="243">
        <f t="shared" si="7"/>
        <v>0</v>
      </c>
      <c r="F91" s="243">
        <f t="shared" si="8"/>
        <v>0</v>
      </c>
      <c r="G91" s="243">
        <f t="shared" si="6"/>
        <v>0</v>
      </c>
      <c r="I91" s="211"/>
      <c r="J91" s="211"/>
    </row>
    <row r="92" spans="1:10" x14ac:dyDescent="0.2">
      <c r="A92" s="18" t="s">
        <v>125</v>
      </c>
      <c r="B92" s="19">
        <v>5414</v>
      </c>
      <c r="C92" s="211">
        <v>0</v>
      </c>
      <c r="D92" s="211">
        <v>0</v>
      </c>
      <c r="E92" s="243">
        <f t="shared" si="7"/>
        <v>0</v>
      </c>
      <c r="F92" s="243">
        <f t="shared" si="8"/>
        <v>0</v>
      </c>
      <c r="G92" s="243">
        <f t="shared" si="6"/>
        <v>0</v>
      </c>
      <c r="I92" s="211"/>
      <c r="J92" s="211"/>
    </row>
    <row r="93" spans="1:10" x14ac:dyDescent="0.2">
      <c r="A93" s="18"/>
      <c r="B93" s="19"/>
      <c r="C93" s="211"/>
      <c r="D93" s="211"/>
      <c r="E93" s="211"/>
      <c r="F93" s="211"/>
      <c r="G93" s="211"/>
      <c r="I93" s="211"/>
      <c r="J93" s="211"/>
    </row>
    <row r="94" spans="1:10" x14ac:dyDescent="0.2">
      <c r="A94" s="9" t="s">
        <v>176</v>
      </c>
      <c r="B94" s="9" t="s">
        <v>176</v>
      </c>
      <c r="C94" s="222">
        <f>SUM(C80:C92)</f>
        <v>0</v>
      </c>
      <c r="D94" s="222">
        <f>SUM(D80:D92)</f>
        <v>51.611092985317953</v>
      </c>
      <c r="E94" s="222">
        <f>SUM(E80:E92)</f>
        <v>0</v>
      </c>
      <c r="F94" s="222">
        <f>SUM(F80:F92)</f>
        <v>104285.58609161468</v>
      </c>
      <c r="G94" s="222">
        <f t="shared" ref="G94" si="9">SUM(G80:G92)</f>
        <v>104285.58609161468</v>
      </c>
      <c r="I94" s="222"/>
      <c r="J94" s="222"/>
    </row>
    <row r="95" spans="1:10" x14ac:dyDescent="0.2">
      <c r="A95" s="18"/>
      <c r="B95" s="19"/>
      <c r="C95" s="218"/>
      <c r="D95" s="218"/>
      <c r="E95" s="218"/>
      <c r="F95" s="218"/>
      <c r="G95" s="218"/>
      <c r="I95" s="218"/>
      <c r="J95" s="218"/>
    </row>
    <row r="96" spans="1:10" x14ac:dyDescent="0.2">
      <c r="A96" s="9" t="s">
        <v>177</v>
      </c>
      <c r="B96" s="9" t="s">
        <v>178</v>
      </c>
      <c r="C96" s="222">
        <f>C94+C78</f>
        <v>311.33981142742903</v>
      </c>
      <c r="D96" s="222">
        <f>D94+D78</f>
        <v>51.611092985317953</v>
      </c>
      <c r="E96" s="222">
        <f>E94+E78</f>
        <v>373508.14497325814</v>
      </c>
      <c r="F96" s="222">
        <f>F94+F78</f>
        <v>104285.58609161468</v>
      </c>
      <c r="G96" s="222">
        <f t="shared" ref="G96" si="10">G94+G78</f>
        <v>477793.73106487282</v>
      </c>
      <c r="I96" s="222"/>
      <c r="J96" s="222"/>
    </row>
    <row r="99" spans="1:5" x14ac:dyDescent="0.2">
      <c r="A99" s="586" t="s">
        <v>867</v>
      </c>
      <c r="B99" s="646">
        <v>12345</v>
      </c>
    </row>
    <row r="100" spans="1:5" x14ac:dyDescent="0.2">
      <c r="A100" s="20" t="s">
        <v>561</v>
      </c>
      <c r="B100" s="10">
        <v>206189</v>
      </c>
      <c r="C100" s="20"/>
      <c r="D100" s="20"/>
      <c r="E100" s="20"/>
    </row>
    <row r="101" spans="1:5" x14ac:dyDescent="0.2">
      <c r="A101" s="20" t="s">
        <v>564</v>
      </c>
      <c r="B101" s="10" t="s">
        <v>565</v>
      </c>
      <c r="C101" s="20"/>
      <c r="D101" s="20"/>
      <c r="E101" s="20"/>
    </row>
    <row r="102" spans="1:5" x14ac:dyDescent="0.2">
      <c r="A102" s="20" t="s">
        <v>36</v>
      </c>
      <c r="B102" s="10">
        <v>1014</v>
      </c>
      <c r="C102" s="20"/>
      <c r="D102" s="20"/>
      <c r="E102" s="20"/>
    </row>
    <row r="103" spans="1:5" x14ac:dyDescent="0.2">
      <c r="A103" s="20" t="s">
        <v>566</v>
      </c>
      <c r="B103" s="10" t="s">
        <v>568</v>
      </c>
      <c r="C103" s="20"/>
      <c r="D103" s="20"/>
      <c r="E103" s="20"/>
    </row>
    <row r="104" spans="1:5" x14ac:dyDescent="0.2">
      <c r="A104" s="20" t="s">
        <v>575</v>
      </c>
      <c r="B104" s="10" t="s">
        <v>576</v>
      </c>
      <c r="C104" s="20"/>
      <c r="D104" s="20"/>
      <c r="E104" s="20"/>
    </row>
    <row r="105" spans="1:5" x14ac:dyDescent="0.2">
      <c r="A105" s="20" t="s">
        <v>577</v>
      </c>
      <c r="B105" s="10">
        <v>206124</v>
      </c>
      <c r="C105" s="20"/>
      <c r="D105" s="20"/>
      <c r="E105" s="20"/>
    </row>
    <row r="106" spans="1:5" x14ac:dyDescent="0.2">
      <c r="A106" s="20" t="s">
        <v>580</v>
      </c>
      <c r="B106" s="10" t="s">
        <v>582</v>
      </c>
      <c r="C106" s="20"/>
      <c r="D106" s="20"/>
      <c r="E106" s="20"/>
    </row>
    <row r="107" spans="1:5" x14ac:dyDescent="0.2">
      <c r="A107" s="20" t="s">
        <v>583</v>
      </c>
      <c r="B107" s="10">
        <v>206126</v>
      </c>
      <c r="C107" s="20"/>
      <c r="D107" s="20"/>
      <c r="E107" s="20"/>
    </row>
    <row r="108" spans="1:5" x14ac:dyDescent="0.2">
      <c r="A108" s="20" t="s">
        <v>585</v>
      </c>
      <c r="B108" s="10">
        <v>206111</v>
      </c>
      <c r="C108" s="20"/>
      <c r="D108" s="20"/>
      <c r="E108" s="20"/>
    </row>
    <row r="109" spans="1:5" x14ac:dyDescent="0.2">
      <c r="A109" s="20" t="s">
        <v>587</v>
      </c>
      <c r="B109" s="10">
        <v>206091</v>
      </c>
      <c r="C109" s="20"/>
      <c r="D109" s="20"/>
      <c r="E109" s="20"/>
    </row>
    <row r="110" spans="1:5" x14ac:dyDescent="0.2">
      <c r="A110" s="20" t="s">
        <v>37</v>
      </c>
      <c r="B110" s="10">
        <v>1017</v>
      </c>
      <c r="C110" s="20"/>
      <c r="D110" s="20"/>
      <c r="E110" s="20"/>
    </row>
    <row r="111" spans="1:5" x14ac:dyDescent="0.2">
      <c r="A111" s="20" t="s">
        <v>38</v>
      </c>
      <c r="B111" s="10">
        <v>1006</v>
      </c>
      <c r="C111" s="20"/>
      <c r="D111" s="20"/>
      <c r="E111" s="20"/>
    </row>
    <row r="112" spans="1:5" x14ac:dyDescent="0.2">
      <c r="A112" s="20" t="s">
        <v>589</v>
      </c>
      <c r="B112" s="10" t="s">
        <v>590</v>
      </c>
      <c r="C112" s="20"/>
      <c r="D112" s="20"/>
      <c r="E112" s="20"/>
    </row>
    <row r="113" spans="1:5" x14ac:dyDescent="0.2">
      <c r="A113" s="20" t="s">
        <v>591</v>
      </c>
      <c r="B113" s="10">
        <v>206128</v>
      </c>
      <c r="C113" s="20"/>
      <c r="D113" s="20"/>
      <c r="E113" s="20"/>
    </row>
    <row r="114" spans="1:5" x14ac:dyDescent="0.2">
      <c r="A114" s="20" t="s">
        <v>908</v>
      </c>
      <c r="B114" s="10" t="s">
        <v>617</v>
      </c>
      <c r="C114" s="20"/>
      <c r="D114" s="20"/>
      <c r="E114" s="20"/>
    </row>
    <row r="115" spans="1:5" x14ac:dyDescent="0.2">
      <c r="A115" s="20" t="s">
        <v>898</v>
      </c>
      <c r="B115" s="10">
        <v>205921</v>
      </c>
      <c r="C115" s="20"/>
      <c r="D115" s="20"/>
      <c r="E115" s="20"/>
    </row>
    <row r="116" spans="1:5" x14ac:dyDescent="0.2">
      <c r="A116" s="20" t="s">
        <v>897</v>
      </c>
      <c r="B116" s="10">
        <v>205999</v>
      </c>
      <c r="C116" s="20"/>
      <c r="D116" s="20"/>
      <c r="E116" s="20"/>
    </row>
    <row r="117" spans="1:5" x14ac:dyDescent="0.2">
      <c r="A117" s="20" t="s">
        <v>896</v>
      </c>
      <c r="B117" s="10" t="s">
        <v>598</v>
      </c>
      <c r="C117" s="20"/>
      <c r="D117" s="20"/>
      <c r="E117" s="20"/>
    </row>
    <row r="118" spans="1:5" x14ac:dyDescent="0.2">
      <c r="A118" s="20" t="s">
        <v>899</v>
      </c>
      <c r="B118" s="10">
        <v>205922</v>
      </c>
      <c r="C118" s="20"/>
      <c r="D118" s="20"/>
      <c r="E118" s="20"/>
    </row>
    <row r="119" spans="1:5" x14ac:dyDescent="0.2">
      <c r="A119" s="20" t="s">
        <v>900</v>
      </c>
      <c r="B119" s="10" t="s">
        <v>603</v>
      </c>
      <c r="C119" s="20"/>
      <c r="D119" s="20"/>
      <c r="E119" s="20"/>
    </row>
    <row r="120" spans="1:5" x14ac:dyDescent="0.2">
      <c r="A120" s="20" t="s">
        <v>901</v>
      </c>
      <c r="B120" s="10">
        <v>205849</v>
      </c>
      <c r="C120" s="20"/>
      <c r="D120" s="20"/>
      <c r="E120" s="20"/>
    </row>
    <row r="121" spans="1:5" x14ac:dyDescent="0.2">
      <c r="A121" s="20" t="s">
        <v>902</v>
      </c>
      <c r="B121" s="10" t="s">
        <v>606</v>
      </c>
      <c r="C121" s="20"/>
      <c r="D121" s="20"/>
      <c r="E121" s="20"/>
    </row>
    <row r="122" spans="1:5" x14ac:dyDescent="0.2">
      <c r="A122" s="20" t="s">
        <v>903</v>
      </c>
      <c r="B122" s="10">
        <v>2</v>
      </c>
      <c r="C122" s="20"/>
      <c r="D122" s="20"/>
      <c r="E122" s="20"/>
    </row>
    <row r="123" spans="1:5" x14ac:dyDescent="0.2">
      <c r="A123" s="20" t="s">
        <v>904</v>
      </c>
      <c r="B123" s="10">
        <v>205956</v>
      </c>
      <c r="C123" s="20"/>
      <c r="D123" s="20"/>
      <c r="E123" s="20"/>
    </row>
    <row r="124" spans="1:5" x14ac:dyDescent="0.2">
      <c r="A124" s="20" t="s">
        <v>907</v>
      </c>
      <c r="B124" s="10" t="s">
        <v>613</v>
      </c>
      <c r="C124" s="20"/>
      <c r="D124" s="20"/>
      <c r="E124" s="20"/>
    </row>
    <row r="125" spans="1:5" x14ac:dyDescent="0.2">
      <c r="A125" s="20" t="s">
        <v>906</v>
      </c>
      <c r="B125" s="10" t="s">
        <v>615</v>
      </c>
      <c r="C125" s="20"/>
      <c r="D125" s="20"/>
      <c r="E125" s="20"/>
    </row>
    <row r="126" spans="1:5" x14ac:dyDescent="0.2">
      <c r="A126" s="20" t="s">
        <v>905</v>
      </c>
      <c r="B126" s="10" t="s">
        <v>612</v>
      </c>
      <c r="C126" s="20"/>
      <c r="D126" s="20"/>
      <c r="E126" s="20"/>
    </row>
    <row r="127" spans="1:5" x14ac:dyDescent="0.2">
      <c r="A127" s="20" t="s">
        <v>909</v>
      </c>
      <c r="B127" s="10" t="s">
        <v>618</v>
      </c>
      <c r="C127" s="20"/>
      <c r="D127" s="20"/>
      <c r="E127" s="20"/>
    </row>
    <row r="128" spans="1:5" x14ac:dyDescent="0.2">
      <c r="A128" s="20" t="s">
        <v>910</v>
      </c>
      <c r="B128" s="10" t="s">
        <v>619</v>
      </c>
      <c r="C128" s="20"/>
      <c r="D128" s="20"/>
      <c r="E128" s="20"/>
    </row>
    <row r="129" spans="1:5" x14ac:dyDescent="0.2">
      <c r="A129" s="20" t="s">
        <v>911</v>
      </c>
      <c r="B129" s="10" t="s">
        <v>620</v>
      </c>
      <c r="C129" s="20"/>
      <c r="D129" s="20"/>
      <c r="E129" s="20"/>
    </row>
    <row r="130" spans="1:5" x14ac:dyDescent="0.2">
      <c r="A130" s="20" t="s">
        <v>621</v>
      </c>
      <c r="B130" s="10" t="s">
        <v>622</v>
      </c>
      <c r="C130" s="20"/>
      <c r="D130" s="20"/>
      <c r="E130" s="20"/>
    </row>
    <row r="131" spans="1:5" x14ac:dyDescent="0.2">
      <c r="A131" s="20" t="s">
        <v>623</v>
      </c>
      <c r="B131" s="10" t="s">
        <v>625</v>
      </c>
      <c r="C131" s="20"/>
      <c r="D131" s="20"/>
      <c r="E131" s="20"/>
    </row>
    <row r="132" spans="1:5" x14ac:dyDescent="0.2">
      <c r="A132" s="20" t="s">
        <v>628</v>
      </c>
      <c r="B132" s="10" t="s">
        <v>629</v>
      </c>
      <c r="C132" s="20"/>
      <c r="D132" s="20"/>
      <c r="E132" s="20"/>
    </row>
    <row r="133" spans="1:5" x14ac:dyDescent="0.2">
      <c r="A133" s="20" t="s">
        <v>630</v>
      </c>
      <c r="B133" s="10">
        <v>258417</v>
      </c>
      <c r="C133" s="20"/>
      <c r="D133" s="20"/>
      <c r="E133" s="20"/>
    </row>
    <row r="134" spans="1:5" x14ac:dyDescent="0.2">
      <c r="A134" s="20" t="s">
        <v>632</v>
      </c>
      <c r="B134" s="10" t="s">
        <v>634</v>
      </c>
      <c r="C134" s="20"/>
      <c r="D134" s="20"/>
      <c r="E134" s="20"/>
    </row>
    <row r="135" spans="1:5" x14ac:dyDescent="0.2">
      <c r="A135" s="20" t="s">
        <v>635</v>
      </c>
      <c r="B135" s="10" t="s">
        <v>637</v>
      </c>
      <c r="C135" s="20"/>
      <c r="D135" s="20"/>
      <c r="E135" s="20"/>
    </row>
    <row r="136" spans="1:5" x14ac:dyDescent="0.2">
      <c r="A136" s="20" t="s">
        <v>638</v>
      </c>
      <c r="B136" s="10">
        <v>206106</v>
      </c>
      <c r="C136" s="20"/>
      <c r="D136" s="20"/>
      <c r="E136" s="20"/>
    </row>
    <row r="137" spans="1:5" x14ac:dyDescent="0.2">
      <c r="A137" s="20" t="s">
        <v>640</v>
      </c>
      <c r="B137" s="10" t="s">
        <v>641</v>
      </c>
      <c r="C137" s="20"/>
      <c r="D137" s="20"/>
      <c r="E137" s="20"/>
    </row>
    <row r="138" spans="1:5" x14ac:dyDescent="0.2">
      <c r="A138" s="20" t="s">
        <v>39</v>
      </c>
      <c r="B138" s="10">
        <v>1008</v>
      </c>
      <c r="C138" s="20"/>
      <c r="D138" s="20"/>
      <c r="E138" s="20"/>
    </row>
    <row r="139" spans="1:5" x14ac:dyDescent="0.2">
      <c r="A139" s="20" t="s">
        <v>642</v>
      </c>
      <c r="B139" s="10" t="s">
        <v>643</v>
      </c>
      <c r="C139" s="20"/>
      <c r="D139" s="20"/>
      <c r="E139" s="20"/>
    </row>
    <row r="140" spans="1:5" x14ac:dyDescent="0.2">
      <c r="A140" s="20" t="s">
        <v>644</v>
      </c>
      <c r="B140" s="10" t="s">
        <v>645</v>
      </c>
      <c r="C140" s="20"/>
      <c r="D140" s="20"/>
      <c r="E140" s="20"/>
    </row>
    <row r="141" spans="1:5" x14ac:dyDescent="0.2">
      <c r="A141" s="20" t="s">
        <v>646</v>
      </c>
      <c r="B141" s="10">
        <v>206133</v>
      </c>
      <c r="C141" s="20"/>
      <c r="D141" s="20"/>
      <c r="E141" s="20"/>
    </row>
    <row r="142" spans="1:5" x14ac:dyDescent="0.2">
      <c r="A142" s="20" t="s">
        <v>648</v>
      </c>
      <c r="B142" s="10" t="s">
        <v>650</v>
      </c>
      <c r="C142" s="20"/>
      <c r="D142" s="20"/>
      <c r="E142" s="20"/>
    </row>
    <row r="143" spans="1:5" x14ac:dyDescent="0.2">
      <c r="A143" s="20" t="s">
        <v>651</v>
      </c>
      <c r="B143" s="10">
        <v>206134</v>
      </c>
      <c r="C143" s="20"/>
      <c r="D143" s="20"/>
      <c r="E143" s="20"/>
    </row>
    <row r="144" spans="1:5" x14ac:dyDescent="0.2">
      <c r="A144" s="20" t="s">
        <v>655</v>
      </c>
      <c r="B144" s="10" t="s">
        <v>656</v>
      </c>
      <c r="C144" s="20"/>
      <c r="D144" s="20"/>
      <c r="E144" s="20"/>
    </row>
    <row r="145" spans="1:5" x14ac:dyDescent="0.2">
      <c r="A145" s="20" t="s">
        <v>657</v>
      </c>
      <c r="B145" s="10" t="s">
        <v>658</v>
      </c>
      <c r="C145" s="20"/>
      <c r="D145" s="20"/>
      <c r="E145" s="20"/>
    </row>
    <row r="146" spans="1:5" x14ac:dyDescent="0.2">
      <c r="A146" s="20" t="s">
        <v>659</v>
      </c>
      <c r="B146" s="10">
        <v>206109</v>
      </c>
      <c r="C146" s="20"/>
      <c r="D146" s="20"/>
      <c r="E146" s="20"/>
    </row>
    <row r="147" spans="1:5" x14ac:dyDescent="0.2">
      <c r="A147" s="20" t="s">
        <v>661</v>
      </c>
      <c r="B147" s="10">
        <v>206110</v>
      </c>
      <c r="C147" s="20"/>
      <c r="D147" s="20"/>
      <c r="E147" s="20"/>
    </row>
    <row r="148" spans="1:5" x14ac:dyDescent="0.2">
      <c r="A148" s="20" t="s">
        <v>663</v>
      </c>
      <c r="B148" s="10">
        <v>206135</v>
      </c>
      <c r="C148" s="20"/>
      <c r="D148" s="20"/>
      <c r="E148" s="20"/>
    </row>
    <row r="149" spans="1:5" x14ac:dyDescent="0.2">
      <c r="A149" s="20" t="s">
        <v>665</v>
      </c>
      <c r="B149" s="10">
        <v>509195</v>
      </c>
      <c r="C149" s="20"/>
      <c r="D149" s="20"/>
      <c r="E149" s="20"/>
    </row>
    <row r="150" spans="1:5" x14ac:dyDescent="0.2">
      <c r="A150" s="20" t="s">
        <v>667</v>
      </c>
      <c r="B150" s="10" t="s">
        <v>668</v>
      </c>
      <c r="C150" s="20"/>
      <c r="D150" s="20"/>
      <c r="E150" s="20"/>
    </row>
    <row r="151" spans="1:5" x14ac:dyDescent="0.2">
      <c r="A151" s="20" t="s">
        <v>671</v>
      </c>
      <c r="B151" s="10" t="s">
        <v>673</v>
      </c>
      <c r="C151" s="20"/>
      <c r="D151" s="20"/>
      <c r="E151" s="20"/>
    </row>
    <row r="152" spans="1:5" x14ac:dyDescent="0.2">
      <c r="A152" s="20" t="s">
        <v>674</v>
      </c>
      <c r="B152" s="10">
        <v>509199</v>
      </c>
      <c r="C152" s="20"/>
      <c r="D152" s="20"/>
      <c r="E152" s="20"/>
    </row>
    <row r="153" spans="1:5" x14ac:dyDescent="0.2">
      <c r="A153" s="20" t="s">
        <v>676</v>
      </c>
      <c r="B153" s="10">
        <v>509197</v>
      </c>
      <c r="C153" s="20"/>
      <c r="D153" s="20"/>
      <c r="E153" s="20"/>
    </row>
    <row r="154" spans="1:5" x14ac:dyDescent="0.2">
      <c r="A154" s="20" t="s">
        <v>678</v>
      </c>
      <c r="B154" s="10" t="s">
        <v>680</v>
      </c>
      <c r="C154" s="20"/>
      <c r="D154" s="20"/>
      <c r="E154" s="20"/>
    </row>
    <row r="155" spans="1:5" x14ac:dyDescent="0.2">
      <c r="A155" s="20" t="s">
        <v>40</v>
      </c>
      <c r="B155" s="10">
        <v>1005</v>
      </c>
      <c r="C155" s="20"/>
      <c r="D155" s="20"/>
      <c r="E155" s="20"/>
    </row>
    <row r="156" spans="1:5" x14ac:dyDescent="0.2">
      <c r="A156" s="20" t="s">
        <v>683</v>
      </c>
      <c r="B156" s="10">
        <v>206117</v>
      </c>
      <c r="C156" s="20"/>
      <c r="D156" s="20"/>
      <c r="E156" s="20"/>
    </row>
    <row r="157" spans="1:5" x14ac:dyDescent="0.2">
      <c r="A157" s="20" t="s">
        <v>685</v>
      </c>
      <c r="B157" s="10">
        <v>206141</v>
      </c>
      <c r="C157" s="20"/>
      <c r="D157" s="20"/>
      <c r="E157" s="20"/>
    </row>
    <row r="158" spans="1:5" x14ac:dyDescent="0.2">
      <c r="A158" s="20" t="s">
        <v>687</v>
      </c>
      <c r="B158" s="10" t="s">
        <v>689</v>
      </c>
      <c r="C158" s="20"/>
      <c r="D158" s="20"/>
      <c r="E158" s="20"/>
    </row>
    <row r="159" spans="1:5" x14ac:dyDescent="0.2">
      <c r="A159" s="20" t="s">
        <v>690</v>
      </c>
      <c r="B159" s="10">
        <v>258404</v>
      </c>
      <c r="C159" s="20"/>
      <c r="D159" s="20"/>
      <c r="E159" s="20"/>
    </row>
    <row r="160" spans="1:5" x14ac:dyDescent="0.2">
      <c r="A160" s="20" t="s">
        <v>692</v>
      </c>
      <c r="B160" s="10">
        <v>258405</v>
      </c>
      <c r="C160" s="20"/>
      <c r="D160" s="20"/>
      <c r="E160" s="20"/>
    </row>
    <row r="161" spans="1:5" x14ac:dyDescent="0.2">
      <c r="A161" s="20" t="s">
        <v>694</v>
      </c>
      <c r="B161" s="10">
        <v>258406</v>
      </c>
      <c r="C161" s="20"/>
      <c r="D161" s="20"/>
      <c r="E161" s="20"/>
    </row>
    <row r="162" spans="1:5" x14ac:dyDescent="0.2">
      <c r="A162" s="20" t="s">
        <v>696</v>
      </c>
      <c r="B162" s="10">
        <v>206160</v>
      </c>
      <c r="C162" s="20"/>
      <c r="D162" s="20"/>
      <c r="E162" s="20"/>
    </row>
    <row r="163" spans="1:5" x14ac:dyDescent="0.2">
      <c r="A163" s="20" t="s">
        <v>698</v>
      </c>
      <c r="B163" s="10" t="s">
        <v>700</v>
      </c>
      <c r="C163" s="20"/>
      <c r="D163" s="20"/>
      <c r="E163" s="20"/>
    </row>
    <row r="164" spans="1:5" x14ac:dyDescent="0.2">
      <c r="A164" s="20" t="s">
        <v>701</v>
      </c>
      <c r="B164" s="10" t="s">
        <v>702</v>
      </c>
      <c r="C164" s="20"/>
      <c r="D164" s="20"/>
      <c r="E164" s="20"/>
    </row>
    <row r="165" spans="1:5" x14ac:dyDescent="0.2">
      <c r="A165" s="20" t="s">
        <v>703</v>
      </c>
      <c r="B165" s="10" t="s">
        <v>705</v>
      </c>
      <c r="C165" s="20"/>
      <c r="D165" s="20"/>
      <c r="E165" s="20"/>
    </row>
    <row r="166" spans="1:5" x14ac:dyDescent="0.2">
      <c r="A166" s="20" t="s">
        <v>706</v>
      </c>
      <c r="B166" s="10">
        <v>206146</v>
      </c>
      <c r="C166" s="20"/>
      <c r="D166" s="20"/>
      <c r="E166" s="20"/>
    </row>
    <row r="167" spans="1:5" x14ac:dyDescent="0.2">
      <c r="A167" s="20" t="s">
        <v>708</v>
      </c>
      <c r="B167" s="10" t="s">
        <v>709</v>
      </c>
      <c r="C167" s="20"/>
      <c r="D167" s="20"/>
      <c r="E167" s="20"/>
    </row>
    <row r="168" spans="1:5" x14ac:dyDescent="0.2">
      <c r="A168" s="20" t="s">
        <v>715</v>
      </c>
      <c r="B168" s="10" t="s">
        <v>716</v>
      </c>
      <c r="C168" s="20"/>
      <c r="D168" s="20"/>
      <c r="E168" s="20"/>
    </row>
    <row r="169" spans="1:5" x14ac:dyDescent="0.2">
      <c r="A169" s="20" t="s">
        <v>717</v>
      </c>
      <c r="B169" s="10" t="s">
        <v>719</v>
      </c>
      <c r="C169" s="20"/>
      <c r="D169" s="20"/>
      <c r="E169" s="20"/>
    </row>
    <row r="170" spans="1:5" x14ac:dyDescent="0.2">
      <c r="A170" s="20" t="s">
        <v>720</v>
      </c>
      <c r="B170" s="10" t="s">
        <v>721</v>
      </c>
      <c r="C170" s="20"/>
      <c r="D170" s="20"/>
      <c r="E170" s="20"/>
    </row>
    <row r="171" spans="1:5" x14ac:dyDescent="0.2">
      <c r="A171" s="20" t="s">
        <v>722</v>
      </c>
      <c r="B171" s="10">
        <v>113044</v>
      </c>
      <c r="C171" s="20"/>
      <c r="D171" s="20"/>
      <c r="E171" s="20"/>
    </row>
    <row r="172" spans="1:5" x14ac:dyDescent="0.2">
      <c r="A172" s="20" t="s">
        <v>724</v>
      </c>
      <c r="B172" s="10" t="s">
        <v>726</v>
      </c>
      <c r="C172" s="20"/>
      <c r="D172" s="20"/>
      <c r="E172" s="20"/>
    </row>
    <row r="173" spans="1:5" x14ac:dyDescent="0.2">
      <c r="A173" s="20" t="s">
        <v>727</v>
      </c>
      <c r="B173" s="10" t="s">
        <v>729</v>
      </c>
      <c r="C173" s="20"/>
      <c r="D173" s="20"/>
      <c r="E173" s="20"/>
    </row>
    <row r="174" spans="1:5" x14ac:dyDescent="0.2">
      <c r="A174" s="20" t="s">
        <v>730</v>
      </c>
      <c r="B174" s="10" t="s">
        <v>732</v>
      </c>
      <c r="C174" s="20"/>
      <c r="D174" s="20"/>
      <c r="E174" s="20"/>
    </row>
    <row r="175" spans="1:5" x14ac:dyDescent="0.2">
      <c r="A175" s="20" t="s">
        <v>733</v>
      </c>
      <c r="B175" s="10" t="s">
        <v>735</v>
      </c>
      <c r="C175" s="20"/>
      <c r="D175" s="20"/>
      <c r="E175" s="20"/>
    </row>
    <row r="176" spans="1:5" x14ac:dyDescent="0.2">
      <c r="A176" s="20" t="s">
        <v>736</v>
      </c>
      <c r="B176" s="10" t="s">
        <v>737</v>
      </c>
      <c r="C176" s="20"/>
      <c r="D176" s="20"/>
      <c r="E176" s="20"/>
    </row>
    <row r="177" spans="1:5" x14ac:dyDescent="0.2">
      <c r="A177" s="20" t="s">
        <v>738</v>
      </c>
      <c r="B177" s="10">
        <v>206152</v>
      </c>
      <c r="C177" s="20"/>
      <c r="D177" s="20"/>
      <c r="E177" s="20"/>
    </row>
    <row r="178" spans="1:5" x14ac:dyDescent="0.2">
      <c r="A178" s="211" t="s">
        <v>103</v>
      </c>
      <c r="B178" s="828">
        <v>3158</v>
      </c>
      <c r="C178" s="20"/>
      <c r="D178" s="20"/>
      <c r="E178" s="20"/>
    </row>
    <row r="179" spans="1:5" x14ac:dyDescent="0.2">
      <c r="A179" s="211" t="s">
        <v>740</v>
      </c>
      <c r="B179" s="828">
        <v>206153</v>
      </c>
      <c r="C179" s="20"/>
      <c r="D179" s="20"/>
      <c r="E179" s="20"/>
    </row>
    <row r="180" spans="1:5" x14ac:dyDescent="0.2">
      <c r="A180" s="211" t="s">
        <v>742</v>
      </c>
      <c r="B180" s="828">
        <v>206154</v>
      </c>
      <c r="C180" s="20"/>
      <c r="D180" s="20"/>
      <c r="E180" s="20"/>
    </row>
    <row r="181" spans="1:5" x14ac:dyDescent="0.2">
      <c r="A181" s="211" t="s">
        <v>744</v>
      </c>
      <c r="B181" s="828" t="s">
        <v>745</v>
      </c>
      <c r="C181" s="20"/>
      <c r="D181" s="20"/>
      <c r="E181" s="20"/>
    </row>
    <row r="182" spans="1:5" x14ac:dyDescent="0.2">
      <c r="A182" s="211" t="s">
        <v>41</v>
      </c>
      <c r="B182" s="828">
        <v>1010</v>
      </c>
      <c r="C182" s="20"/>
      <c r="D182" s="20"/>
      <c r="E182" s="20"/>
    </row>
    <row r="183" spans="1:5" x14ac:dyDescent="0.2">
      <c r="A183" s="211" t="s">
        <v>746</v>
      </c>
      <c r="B183" s="828" t="s">
        <v>748</v>
      </c>
      <c r="C183" s="20"/>
      <c r="D183" s="20"/>
      <c r="E183" s="20"/>
    </row>
    <row r="184" spans="1:5" x14ac:dyDescent="0.2">
      <c r="A184" s="211" t="s">
        <v>749</v>
      </c>
      <c r="B184" s="828" t="s">
        <v>751</v>
      </c>
      <c r="C184" s="20"/>
      <c r="D184" s="20"/>
      <c r="E184" s="20"/>
    </row>
    <row r="185" spans="1:5" x14ac:dyDescent="0.2">
      <c r="A185" s="211" t="s">
        <v>752</v>
      </c>
      <c r="B185" s="828">
        <v>206103</v>
      </c>
      <c r="C185" s="20"/>
      <c r="D185" s="20"/>
      <c r="E185" s="20"/>
    </row>
    <row r="186" spans="1:5" x14ac:dyDescent="0.2">
      <c r="A186" s="211" t="s">
        <v>753</v>
      </c>
      <c r="B186" s="828" t="s">
        <v>755</v>
      </c>
      <c r="C186" s="20"/>
      <c r="D186" s="20"/>
      <c r="E186" s="20"/>
    </row>
    <row r="187" spans="1:5" x14ac:dyDescent="0.2">
      <c r="A187" s="211" t="s">
        <v>756</v>
      </c>
      <c r="B187" s="828" t="s">
        <v>758</v>
      </c>
      <c r="C187" s="20"/>
      <c r="D187" s="20"/>
      <c r="E187" s="20"/>
    </row>
    <row r="188" spans="1:5" x14ac:dyDescent="0.2">
      <c r="A188" s="211" t="s">
        <v>759</v>
      </c>
      <c r="B188" s="828">
        <v>258420</v>
      </c>
      <c r="C188" s="20"/>
      <c r="D188" s="20"/>
      <c r="E188" s="20"/>
    </row>
    <row r="189" spans="1:5" x14ac:dyDescent="0.2">
      <c r="A189" s="211" t="s">
        <v>761</v>
      </c>
      <c r="B189" s="828">
        <v>258424</v>
      </c>
      <c r="C189" s="20"/>
      <c r="D189" s="20"/>
      <c r="E189" s="20"/>
    </row>
    <row r="190" spans="1:5" x14ac:dyDescent="0.2">
      <c r="A190" s="211" t="s">
        <v>42</v>
      </c>
      <c r="B190" s="828">
        <v>1009</v>
      </c>
      <c r="C190" s="20"/>
      <c r="D190" s="20"/>
      <c r="E190" s="20"/>
    </row>
    <row r="191" spans="1:5" x14ac:dyDescent="0.2">
      <c r="A191" s="211" t="s">
        <v>770</v>
      </c>
      <c r="B191" s="828" t="s">
        <v>771</v>
      </c>
      <c r="C191" s="20"/>
      <c r="D191" s="20"/>
      <c r="E191" s="20"/>
    </row>
    <row r="192" spans="1:5" x14ac:dyDescent="0.2">
      <c r="A192" s="211" t="s">
        <v>765</v>
      </c>
      <c r="B192" s="828" t="s">
        <v>767</v>
      </c>
      <c r="C192" s="20"/>
      <c r="D192" s="20"/>
      <c r="E192" s="20"/>
    </row>
    <row r="193" spans="1:5" x14ac:dyDescent="0.2">
      <c r="A193" s="211" t="s">
        <v>43</v>
      </c>
      <c r="B193" s="828">
        <v>1015</v>
      </c>
      <c r="C193" s="20"/>
      <c r="D193" s="20"/>
      <c r="E193" s="20"/>
    </row>
    <row r="194" spans="1:5" x14ac:dyDescent="0.2">
      <c r="A194" s="211" t="s">
        <v>768</v>
      </c>
      <c r="B194" s="828" t="s">
        <v>769</v>
      </c>
      <c r="C194" s="20"/>
      <c r="D194" s="20"/>
      <c r="E194" s="20"/>
    </row>
    <row r="195" spans="1:5" x14ac:dyDescent="0.2">
      <c r="A195" s="211" t="s">
        <v>772</v>
      </c>
      <c r="B195" s="828">
        <v>509204</v>
      </c>
      <c r="C195" s="20"/>
      <c r="D195" s="20"/>
      <c r="E195" s="20"/>
    </row>
    <row r="196" spans="1:5" x14ac:dyDescent="0.2">
      <c r="A196" s="491" t="s">
        <v>569</v>
      </c>
      <c r="B196" s="654" t="s">
        <v>570</v>
      </c>
      <c r="C196" s="623"/>
      <c r="D196" s="603"/>
    </row>
    <row r="197" spans="1:5" x14ac:dyDescent="0.2">
      <c r="A197" s="665" t="s">
        <v>571</v>
      </c>
      <c r="B197" s="662" t="s">
        <v>572</v>
      </c>
      <c r="C197" s="623"/>
      <c r="D197" s="603"/>
    </row>
    <row r="198" spans="1:5" ht="15" x14ac:dyDescent="0.25">
      <c r="A198" s="665" t="s">
        <v>573</v>
      </c>
      <c r="B198" s="661" t="s">
        <v>574</v>
      </c>
      <c r="C198" s="623"/>
      <c r="D198" s="603"/>
    </row>
    <row r="199" spans="1:5" x14ac:dyDescent="0.2">
      <c r="A199" s="659" t="s">
        <v>593</v>
      </c>
      <c r="B199" s="657" t="s">
        <v>594</v>
      </c>
      <c r="C199" s="623"/>
      <c r="D199" s="586"/>
    </row>
    <row r="200" spans="1:5" x14ac:dyDescent="0.2">
      <c r="A200" s="659" t="s">
        <v>595</v>
      </c>
      <c r="B200" s="657" t="s">
        <v>596</v>
      </c>
      <c r="C200" s="623"/>
      <c r="D200" s="603"/>
    </row>
    <row r="201" spans="1:5" x14ac:dyDescent="0.2">
      <c r="A201" s="331" t="s">
        <v>1026</v>
      </c>
      <c r="B201" s="331" t="s">
        <v>599</v>
      </c>
      <c r="C201" s="623"/>
      <c r="D201" s="586"/>
    </row>
    <row r="202" spans="1:5" x14ac:dyDescent="0.2">
      <c r="A202" s="331" t="s">
        <v>1027</v>
      </c>
      <c r="B202" s="331" t="s">
        <v>600</v>
      </c>
      <c r="C202" s="623"/>
      <c r="D202" s="586"/>
    </row>
    <row r="203" spans="1:5" x14ac:dyDescent="0.2">
      <c r="A203" s="331" t="s">
        <v>1014</v>
      </c>
      <c r="B203" s="331" t="s">
        <v>601</v>
      </c>
      <c r="C203" s="623"/>
      <c r="D203" s="586"/>
    </row>
    <row r="204" spans="1:5" x14ac:dyDescent="0.2">
      <c r="A204" s="331" t="s">
        <v>1015</v>
      </c>
      <c r="B204" s="331" t="s">
        <v>602</v>
      </c>
      <c r="C204" s="623"/>
      <c r="D204" s="586"/>
    </row>
    <row r="205" spans="1:5" x14ac:dyDescent="0.2">
      <c r="A205" s="331" t="s">
        <v>1016</v>
      </c>
      <c r="B205" s="331" t="s">
        <v>604</v>
      </c>
      <c r="C205" s="623"/>
      <c r="D205" s="586"/>
    </row>
    <row r="206" spans="1:5" x14ac:dyDescent="0.2">
      <c r="A206" s="331" t="s">
        <v>1017</v>
      </c>
      <c r="B206" s="331" t="s">
        <v>605</v>
      </c>
      <c r="C206" s="623"/>
      <c r="D206" s="586"/>
    </row>
    <row r="207" spans="1:5" x14ac:dyDescent="0.2">
      <c r="A207" s="612" t="s">
        <v>1018</v>
      </c>
      <c r="B207" s="658" t="s">
        <v>607</v>
      </c>
      <c r="C207" s="623"/>
      <c r="D207" s="586"/>
    </row>
    <row r="208" spans="1:5" x14ac:dyDescent="0.2">
      <c r="A208" s="664" t="s">
        <v>1019</v>
      </c>
      <c r="B208" s="662" t="s">
        <v>608</v>
      </c>
      <c r="C208" s="623"/>
      <c r="D208" s="586"/>
    </row>
    <row r="209" spans="1:4" x14ac:dyDescent="0.2">
      <c r="A209" s="607" t="s">
        <v>1020</v>
      </c>
      <c r="B209" s="807" t="s">
        <v>609</v>
      </c>
      <c r="C209" s="623"/>
      <c r="D209" s="586"/>
    </row>
    <row r="210" spans="1:4" x14ac:dyDescent="0.2">
      <c r="A210" s="808" t="s">
        <v>1021</v>
      </c>
      <c r="B210" s="662" t="s">
        <v>610</v>
      </c>
      <c r="C210" s="623"/>
      <c r="D210" s="586"/>
    </row>
    <row r="211" spans="1:4" x14ac:dyDescent="0.2">
      <c r="A211" s="612" t="s">
        <v>1022</v>
      </c>
      <c r="B211" s="608" t="s">
        <v>611</v>
      </c>
      <c r="C211" s="623"/>
      <c r="D211" s="586"/>
    </row>
    <row r="212" spans="1:4" x14ac:dyDescent="0.2">
      <c r="A212" s="607" t="s">
        <v>905</v>
      </c>
      <c r="B212" s="608" t="s">
        <v>612</v>
      </c>
      <c r="C212" s="623"/>
      <c r="D212" s="586"/>
    </row>
    <row r="213" spans="1:4" x14ac:dyDescent="0.2">
      <c r="A213" s="808" t="s">
        <v>1023</v>
      </c>
      <c r="B213" s="802" t="s">
        <v>614</v>
      </c>
      <c r="C213" s="623"/>
      <c r="D213" s="586"/>
    </row>
    <row r="214" spans="1:4" x14ac:dyDescent="0.2">
      <c r="A214" s="612" t="s">
        <v>1024</v>
      </c>
      <c r="B214" s="608">
        <v>206043</v>
      </c>
      <c r="C214" s="623"/>
      <c r="D214" s="586"/>
    </row>
    <row r="215" spans="1:4" x14ac:dyDescent="0.2">
      <c r="A215" s="611" t="s">
        <v>1025</v>
      </c>
      <c r="B215" s="809" t="s">
        <v>616</v>
      </c>
      <c r="C215" s="623"/>
      <c r="D215" s="586"/>
    </row>
    <row r="216" spans="1:4" x14ac:dyDescent="0.2">
      <c r="A216" s="804" t="s">
        <v>669</v>
      </c>
      <c r="B216" s="722" t="s">
        <v>670</v>
      </c>
      <c r="C216" s="623"/>
      <c r="D216" s="603"/>
    </row>
    <row r="217" spans="1:4" x14ac:dyDescent="0.2">
      <c r="A217" s="659" t="s">
        <v>681</v>
      </c>
      <c r="B217" s="657" t="s">
        <v>682</v>
      </c>
      <c r="C217" s="623"/>
      <c r="D217" s="586"/>
    </row>
    <row r="218" spans="1:4" x14ac:dyDescent="0.2">
      <c r="A218" s="491" t="s">
        <v>653</v>
      </c>
      <c r="B218" s="706" t="s">
        <v>654</v>
      </c>
    </row>
    <row r="219" spans="1:4" x14ac:dyDescent="0.2">
      <c r="A219" s="215" t="s">
        <v>63</v>
      </c>
      <c r="B219" s="823">
        <v>2448</v>
      </c>
    </row>
    <row r="220" spans="1:4" x14ac:dyDescent="0.2">
      <c r="A220" s="583" t="s">
        <v>1033</v>
      </c>
      <c r="B220" s="837">
        <v>4000</v>
      </c>
    </row>
    <row r="221" spans="1:4" x14ac:dyDescent="0.2">
      <c r="A221" s="198"/>
      <c r="B221" s="198"/>
    </row>
    <row r="222" spans="1:4" x14ac:dyDescent="0.2">
      <c r="A222" s="198"/>
      <c r="B222" s="198"/>
    </row>
  </sheetData>
  <sheetProtection password="8913" sheet="1" objects="1" scenarios="1"/>
  <mergeCells count="1">
    <mergeCell ref="B1:B5"/>
  </mergeCells>
  <pageMargins left="0.7" right="0.7" top="0.75" bottom="0.75" header="0.3" footer="0.3"/>
  <pageSetup paperSize="9" scale="5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zoomScale="80" zoomScaleNormal="80" workbookViewId="0">
      <selection sqref="A1:XFD1048576"/>
    </sheetView>
  </sheetViews>
  <sheetFormatPr defaultRowHeight="12.75" x14ac:dyDescent="0.2"/>
  <cols>
    <col min="1" max="1" width="52.42578125" bestFit="1" customWidth="1"/>
    <col min="2" max="2" width="17.140625" bestFit="1" customWidth="1"/>
    <col min="3" max="3" width="16" bestFit="1" customWidth="1"/>
  </cols>
  <sheetData>
    <row r="1" spans="1:3" x14ac:dyDescent="0.2">
      <c r="A1" s="9" t="s">
        <v>284</v>
      </c>
      <c r="B1" s="10"/>
      <c r="C1" s="32">
        <v>100000</v>
      </c>
    </row>
    <row r="2" spans="1:3" x14ac:dyDescent="0.2">
      <c r="A2" s="9" t="s">
        <v>283</v>
      </c>
      <c r="B2" s="10"/>
      <c r="C2" s="32">
        <v>150000</v>
      </c>
    </row>
    <row r="3" spans="1:3" x14ac:dyDescent="0.2">
      <c r="A3" s="9" t="s">
        <v>139</v>
      </c>
      <c r="B3" s="10"/>
      <c r="C3" s="32"/>
    </row>
    <row r="4" spans="1:3" x14ac:dyDescent="0.2">
      <c r="A4" s="9" t="s">
        <v>140</v>
      </c>
      <c r="B4" s="10"/>
      <c r="C4" s="32"/>
    </row>
    <row r="5" spans="1:3" x14ac:dyDescent="0.2">
      <c r="A5" s="9" t="s">
        <v>141</v>
      </c>
      <c r="B5" s="10"/>
      <c r="C5" s="32"/>
    </row>
    <row r="6" spans="1:3" x14ac:dyDescent="0.2">
      <c r="A6" s="25" t="s">
        <v>180</v>
      </c>
      <c r="B6" s="15" t="s">
        <v>142</v>
      </c>
      <c r="C6" s="41" t="s">
        <v>207</v>
      </c>
    </row>
    <row r="7" spans="1:3" x14ac:dyDescent="0.2">
      <c r="A7" s="18" t="s">
        <v>44</v>
      </c>
      <c r="B7" s="19">
        <v>2400</v>
      </c>
      <c r="C7" s="36">
        <f>C$1</f>
        <v>100000</v>
      </c>
    </row>
    <row r="8" spans="1:3" x14ac:dyDescent="0.2">
      <c r="A8" s="18" t="s">
        <v>45</v>
      </c>
      <c r="B8" s="19">
        <v>2443</v>
      </c>
      <c r="C8" s="36">
        <f t="shared" ref="C8:C70" si="0">C$1</f>
        <v>100000</v>
      </c>
    </row>
    <row r="9" spans="1:3" x14ac:dyDescent="0.2">
      <c r="A9" s="18" t="s">
        <v>155</v>
      </c>
      <c r="B9" s="19">
        <v>2442</v>
      </c>
      <c r="C9" s="36">
        <f t="shared" si="0"/>
        <v>100000</v>
      </c>
    </row>
    <row r="10" spans="1:3" x14ac:dyDescent="0.2">
      <c r="A10" s="18" t="s">
        <v>47</v>
      </c>
      <c r="B10" s="19">
        <v>2629</v>
      </c>
      <c r="C10" s="36">
        <f t="shared" si="0"/>
        <v>100000</v>
      </c>
    </row>
    <row r="11" spans="1:3" x14ac:dyDescent="0.2">
      <c r="A11" s="18" t="s">
        <v>48</v>
      </c>
      <c r="B11" s="19">
        <v>2509</v>
      </c>
      <c r="C11" s="36">
        <f t="shared" si="0"/>
        <v>100000</v>
      </c>
    </row>
    <row r="12" spans="1:3" x14ac:dyDescent="0.2">
      <c r="A12" s="18" t="s">
        <v>49</v>
      </c>
      <c r="B12" s="19">
        <v>2005</v>
      </c>
      <c r="C12" s="36">
        <f t="shared" si="0"/>
        <v>100000</v>
      </c>
    </row>
    <row r="13" spans="1:3" x14ac:dyDescent="0.2">
      <c r="A13" s="18" t="s">
        <v>50</v>
      </c>
      <c r="B13" s="19">
        <v>2464</v>
      </c>
      <c r="C13" s="36">
        <f t="shared" si="0"/>
        <v>100000</v>
      </c>
    </row>
    <row r="14" spans="1:3" x14ac:dyDescent="0.2">
      <c r="A14" s="18" t="s">
        <v>51</v>
      </c>
      <c r="B14" s="19">
        <v>2004</v>
      </c>
      <c r="C14" s="36">
        <f t="shared" si="0"/>
        <v>100000</v>
      </c>
    </row>
    <row r="15" spans="1:3" x14ac:dyDescent="0.2">
      <c r="A15" s="18" t="s">
        <v>52</v>
      </c>
      <c r="B15" s="19">
        <v>2405</v>
      </c>
      <c r="C15" s="36">
        <f t="shared" si="0"/>
        <v>100000</v>
      </c>
    </row>
    <row r="16" spans="1:3" x14ac:dyDescent="0.2">
      <c r="A16" s="18" t="s">
        <v>156</v>
      </c>
      <c r="B16" s="19">
        <v>3525</v>
      </c>
      <c r="C16" s="36">
        <f t="shared" si="0"/>
        <v>100000</v>
      </c>
    </row>
    <row r="17" spans="1:3" x14ac:dyDescent="0.2">
      <c r="A17" s="18" t="s">
        <v>54</v>
      </c>
      <c r="B17" s="19">
        <v>5201</v>
      </c>
      <c r="C17" s="36">
        <f t="shared" si="0"/>
        <v>100000</v>
      </c>
    </row>
    <row r="18" spans="1:3" x14ac:dyDescent="0.2">
      <c r="A18" s="18" t="s">
        <v>157</v>
      </c>
      <c r="B18" s="19">
        <v>2007</v>
      </c>
      <c r="C18" s="36">
        <f t="shared" si="0"/>
        <v>100000</v>
      </c>
    </row>
    <row r="19" spans="1:3" x14ac:dyDescent="0.2">
      <c r="A19" s="18" t="s">
        <v>56</v>
      </c>
      <c r="B19" s="19">
        <v>2433</v>
      </c>
      <c r="C19" s="36">
        <f t="shared" si="0"/>
        <v>100000</v>
      </c>
    </row>
    <row r="20" spans="1:3" x14ac:dyDescent="0.2">
      <c r="A20" s="18" t="s">
        <v>57</v>
      </c>
      <c r="B20" s="19">
        <v>2432</v>
      </c>
      <c r="C20" s="36">
        <f t="shared" si="0"/>
        <v>100000</v>
      </c>
    </row>
    <row r="21" spans="1:3" x14ac:dyDescent="0.2">
      <c r="A21" s="18" t="s">
        <v>59</v>
      </c>
      <c r="B21" s="19">
        <v>2447</v>
      </c>
      <c r="C21" s="36">
        <v>170000</v>
      </c>
    </row>
    <row r="22" spans="1:3" x14ac:dyDescent="0.2">
      <c r="A22" s="18" t="s">
        <v>60</v>
      </c>
      <c r="B22" s="19">
        <v>2512</v>
      </c>
      <c r="C22" s="36">
        <f t="shared" si="0"/>
        <v>100000</v>
      </c>
    </row>
    <row r="23" spans="1:3" x14ac:dyDescent="0.2">
      <c r="A23" s="18" t="s">
        <v>61</v>
      </c>
      <c r="B23" s="19">
        <v>2456</v>
      </c>
      <c r="C23" s="36">
        <f t="shared" si="0"/>
        <v>100000</v>
      </c>
    </row>
    <row r="24" spans="1:3" x14ac:dyDescent="0.2">
      <c r="A24" s="18" t="s">
        <v>62</v>
      </c>
      <c r="B24" s="19">
        <v>2449</v>
      </c>
      <c r="C24" s="36">
        <f t="shared" si="0"/>
        <v>100000</v>
      </c>
    </row>
    <row r="25" spans="1:3" x14ac:dyDescent="0.2">
      <c r="A25" s="18" t="s">
        <v>63</v>
      </c>
      <c r="B25" s="19">
        <v>2448</v>
      </c>
      <c r="C25" s="36">
        <f t="shared" si="0"/>
        <v>100000</v>
      </c>
    </row>
    <row r="26" spans="1:3" x14ac:dyDescent="0.2">
      <c r="A26" s="18" t="s">
        <v>193</v>
      </c>
      <c r="B26" s="19">
        <v>2467</v>
      </c>
      <c r="C26" s="36">
        <f t="shared" si="0"/>
        <v>100000</v>
      </c>
    </row>
    <row r="27" spans="1:3" x14ac:dyDescent="0.2">
      <c r="A27" s="18" t="s">
        <v>65</v>
      </c>
      <c r="B27" s="19">
        <v>2455</v>
      </c>
      <c r="C27" s="36">
        <f t="shared" si="0"/>
        <v>100000</v>
      </c>
    </row>
    <row r="28" spans="1:3" x14ac:dyDescent="0.2">
      <c r="A28" s="18" t="s">
        <v>66</v>
      </c>
      <c r="B28" s="19">
        <v>5203</v>
      </c>
      <c r="C28" s="36">
        <f t="shared" si="0"/>
        <v>100000</v>
      </c>
    </row>
    <row r="29" spans="1:3" x14ac:dyDescent="0.2">
      <c r="A29" s="18" t="s">
        <v>67</v>
      </c>
      <c r="B29" s="19">
        <v>2451</v>
      </c>
      <c r="C29" s="36">
        <f t="shared" si="0"/>
        <v>100000</v>
      </c>
    </row>
    <row r="30" spans="1:3" x14ac:dyDescent="0.2">
      <c r="A30" s="18" t="s">
        <v>68</v>
      </c>
      <c r="B30" s="19">
        <v>2409</v>
      </c>
      <c r="C30" s="36">
        <f t="shared" si="0"/>
        <v>100000</v>
      </c>
    </row>
    <row r="31" spans="1:3" x14ac:dyDescent="0.2">
      <c r="A31" s="18" t="s">
        <v>159</v>
      </c>
      <c r="B31" s="19">
        <v>3158</v>
      </c>
      <c r="C31" s="36">
        <f t="shared" si="0"/>
        <v>100000</v>
      </c>
    </row>
    <row r="32" spans="1:3" x14ac:dyDescent="0.2">
      <c r="A32" s="18" t="s">
        <v>69</v>
      </c>
      <c r="B32" s="19">
        <v>2619</v>
      </c>
      <c r="C32" s="36">
        <f t="shared" si="0"/>
        <v>100000</v>
      </c>
    </row>
    <row r="33" spans="1:3" x14ac:dyDescent="0.2">
      <c r="A33" s="18" t="s">
        <v>70</v>
      </c>
      <c r="B33" s="19">
        <v>2518</v>
      </c>
      <c r="C33" s="36">
        <f t="shared" si="0"/>
        <v>100000</v>
      </c>
    </row>
    <row r="34" spans="1:3" x14ac:dyDescent="0.2">
      <c r="A34" s="18" t="s">
        <v>71</v>
      </c>
      <c r="B34" s="19">
        <v>2457</v>
      </c>
      <c r="C34" s="36">
        <f t="shared" si="0"/>
        <v>100000</v>
      </c>
    </row>
    <row r="35" spans="1:3" x14ac:dyDescent="0.2">
      <c r="A35" s="18" t="s">
        <v>160</v>
      </c>
      <c r="B35" s="220">
        <v>2010</v>
      </c>
      <c r="C35" s="36">
        <f t="shared" si="0"/>
        <v>100000</v>
      </c>
    </row>
    <row r="36" spans="1:3" x14ac:dyDescent="0.2">
      <c r="A36" s="18" t="s">
        <v>73</v>
      </c>
      <c r="B36" s="19">
        <v>2002</v>
      </c>
      <c r="C36" s="36">
        <f t="shared" si="0"/>
        <v>100000</v>
      </c>
    </row>
    <row r="37" spans="1:3" x14ac:dyDescent="0.2">
      <c r="A37" s="18" t="s">
        <v>74</v>
      </c>
      <c r="B37" s="19">
        <v>3544</v>
      </c>
      <c r="C37" s="36">
        <f t="shared" si="0"/>
        <v>100000</v>
      </c>
    </row>
    <row r="38" spans="1:3" x14ac:dyDescent="0.2">
      <c r="A38" s="18" t="s">
        <v>161</v>
      </c>
      <c r="B38" s="19">
        <v>2006</v>
      </c>
      <c r="C38" s="36">
        <f t="shared" si="0"/>
        <v>100000</v>
      </c>
    </row>
    <row r="39" spans="1:3" x14ac:dyDescent="0.2">
      <c r="A39" s="18" t="s">
        <v>76</v>
      </c>
      <c r="B39" s="19">
        <v>2434</v>
      </c>
      <c r="C39" s="36">
        <f t="shared" si="0"/>
        <v>100000</v>
      </c>
    </row>
    <row r="40" spans="1:3" x14ac:dyDescent="0.2">
      <c r="A40" s="18" t="s">
        <v>77</v>
      </c>
      <c r="B40" s="19">
        <v>2522</v>
      </c>
      <c r="C40" s="36">
        <f t="shared" si="0"/>
        <v>100000</v>
      </c>
    </row>
    <row r="41" spans="1:3" x14ac:dyDescent="0.2">
      <c r="A41" s="18" t="s">
        <v>78</v>
      </c>
      <c r="B41" s="19">
        <v>2436</v>
      </c>
      <c r="C41" s="36">
        <f t="shared" si="0"/>
        <v>100000</v>
      </c>
    </row>
    <row r="42" spans="1:3" x14ac:dyDescent="0.2">
      <c r="A42" s="18" t="s">
        <v>79</v>
      </c>
      <c r="B42" s="19">
        <v>2452</v>
      </c>
      <c r="C42" s="36">
        <f t="shared" si="0"/>
        <v>100000</v>
      </c>
    </row>
    <row r="43" spans="1:3" x14ac:dyDescent="0.2">
      <c r="A43" s="18" t="s">
        <v>80</v>
      </c>
      <c r="B43" s="19">
        <v>2627</v>
      </c>
      <c r="C43" s="36">
        <f t="shared" si="0"/>
        <v>100000</v>
      </c>
    </row>
    <row r="44" spans="1:3" x14ac:dyDescent="0.2">
      <c r="A44" s="18" t="s">
        <v>81</v>
      </c>
      <c r="B44" s="19">
        <v>2009</v>
      </c>
      <c r="C44" s="36">
        <f t="shared" si="0"/>
        <v>100000</v>
      </c>
    </row>
    <row r="45" spans="1:3" x14ac:dyDescent="0.2">
      <c r="A45" s="18" t="s">
        <v>162</v>
      </c>
      <c r="B45" s="19">
        <v>2473</v>
      </c>
      <c r="C45" s="36">
        <f t="shared" si="0"/>
        <v>100000</v>
      </c>
    </row>
    <row r="46" spans="1:3" x14ac:dyDescent="0.2">
      <c r="A46" s="18" t="s">
        <v>84</v>
      </c>
      <c r="B46" s="19">
        <v>2471</v>
      </c>
      <c r="C46" s="36">
        <f t="shared" si="0"/>
        <v>100000</v>
      </c>
    </row>
    <row r="47" spans="1:3" x14ac:dyDescent="0.2">
      <c r="A47" s="18" t="s">
        <v>82</v>
      </c>
      <c r="B47" s="19">
        <v>2420</v>
      </c>
      <c r="C47" s="36">
        <f t="shared" si="0"/>
        <v>100000</v>
      </c>
    </row>
    <row r="48" spans="1:3" x14ac:dyDescent="0.2">
      <c r="A48" s="18" t="s">
        <v>85</v>
      </c>
      <c r="B48" s="19">
        <v>2003</v>
      </c>
      <c r="C48" s="36">
        <f t="shared" si="0"/>
        <v>100000</v>
      </c>
    </row>
    <row r="49" spans="1:3" x14ac:dyDescent="0.2">
      <c r="A49" s="18" t="s">
        <v>86</v>
      </c>
      <c r="B49" s="19">
        <v>2423</v>
      </c>
      <c r="C49" s="36">
        <f t="shared" si="0"/>
        <v>100000</v>
      </c>
    </row>
    <row r="50" spans="1:3" x14ac:dyDescent="0.2">
      <c r="A50" s="18" t="s">
        <v>87</v>
      </c>
      <c r="B50" s="19">
        <v>2424</v>
      </c>
      <c r="C50" s="36">
        <f t="shared" si="0"/>
        <v>100000</v>
      </c>
    </row>
    <row r="51" spans="1:3" x14ac:dyDescent="0.2">
      <c r="A51" s="18" t="s">
        <v>88</v>
      </c>
      <c r="B51" s="19">
        <v>2439</v>
      </c>
      <c r="C51" s="36">
        <f t="shared" si="0"/>
        <v>100000</v>
      </c>
    </row>
    <row r="52" spans="1:3" x14ac:dyDescent="0.2">
      <c r="A52" s="18" t="s">
        <v>89</v>
      </c>
      <c r="B52" s="19">
        <v>2440</v>
      </c>
      <c r="C52" s="36">
        <f t="shared" si="0"/>
        <v>100000</v>
      </c>
    </row>
    <row r="53" spans="1:3" x14ac:dyDescent="0.2">
      <c r="A53" s="18" t="s">
        <v>163</v>
      </c>
      <c r="B53" s="19">
        <v>2462</v>
      </c>
      <c r="C53" s="36">
        <f t="shared" si="0"/>
        <v>100000</v>
      </c>
    </row>
    <row r="54" spans="1:3" x14ac:dyDescent="0.2">
      <c r="A54" s="18" t="s">
        <v>91</v>
      </c>
      <c r="B54" s="19">
        <v>2463</v>
      </c>
      <c r="C54" s="36">
        <f t="shared" si="0"/>
        <v>100000</v>
      </c>
    </row>
    <row r="55" spans="1:3" x14ac:dyDescent="0.2">
      <c r="A55" s="18" t="s">
        <v>92</v>
      </c>
      <c r="B55" s="19">
        <v>2505</v>
      </c>
      <c r="C55" s="36">
        <f t="shared" si="0"/>
        <v>100000</v>
      </c>
    </row>
    <row r="56" spans="1:3" x14ac:dyDescent="0.2">
      <c r="A56" s="18" t="s">
        <v>93</v>
      </c>
      <c r="B56" s="19">
        <v>2000</v>
      </c>
      <c r="C56" s="36">
        <f t="shared" si="0"/>
        <v>100000</v>
      </c>
    </row>
    <row r="57" spans="1:3" x14ac:dyDescent="0.2">
      <c r="A57" s="18" t="s">
        <v>94</v>
      </c>
      <c r="B57" s="19">
        <v>2458</v>
      </c>
      <c r="C57" s="36">
        <f t="shared" si="0"/>
        <v>100000</v>
      </c>
    </row>
    <row r="58" spans="1:3" x14ac:dyDescent="0.2">
      <c r="A58" s="18" t="s">
        <v>95</v>
      </c>
      <c r="B58" s="19">
        <v>2001</v>
      </c>
      <c r="C58" s="36">
        <f t="shared" si="0"/>
        <v>100000</v>
      </c>
    </row>
    <row r="59" spans="1:3" x14ac:dyDescent="0.2">
      <c r="A59" s="18" t="s">
        <v>96</v>
      </c>
      <c r="B59" s="19">
        <v>2429</v>
      </c>
      <c r="C59" s="36">
        <f t="shared" si="0"/>
        <v>100000</v>
      </c>
    </row>
    <row r="60" spans="1:3" x14ac:dyDescent="0.2">
      <c r="A60" s="18" t="s">
        <v>97</v>
      </c>
      <c r="B60" s="19">
        <v>2444</v>
      </c>
      <c r="C60" s="36">
        <f t="shared" si="0"/>
        <v>100000</v>
      </c>
    </row>
    <row r="61" spans="1:3" x14ac:dyDescent="0.2">
      <c r="A61" s="18" t="s">
        <v>98</v>
      </c>
      <c r="B61" s="19">
        <v>5209</v>
      </c>
      <c r="C61" s="36">
        <f t="shared" si="0"/>
        <v>100000</v>
      </c>
    </row>
    <row r="62" spans="1:3" x14ac:dyDescent="0.2">
      <c r="A62" s="18" t="s">
        <v>99</v>
      </c>
      <c r="B62" s="19">
        <v>2469</v>
      </c>
      <c r="C62" s="36">
        <f t="shared" si="0"/>
        <v>100000</v>
      </c>
    </row>
    <row r="63" spans="1:3" x14ac:dyDescent="0.2">
      <c r="A63" s="18" t="s">
        <v>100</v>
      </c>
      <c r="B63" s="19">
        <v>2430</v>
      </c>
      <c r="C63" s="36">
        <f t="shared" si="0"/>
        <v>100000</v>
      </c>
    </row>
    <row r="64" spans="1:3" x14ac:dyDescent="0.2">
      <c r="A64" s="18" t="s">
        <v>101</v>
      </c>
      <c r="B64" s="19">
        <v>2466</v>
      </c>
      <c r="C64" s="36">
        <f t="shared" si="0"/>
        <v>100000</v>
      </c>
    </row>
    <row r="65" spans="1:3" x14ac:dyDescent="0.2">
      <c r="A65" s="18" t="s">
        <v>102</v>
      </c>
      <c r="B65" s="19">
        <v>3543</v>
      </c>
      <c r="C65" s="36">
        <f t="shared" si="0"/>
        <v>100000</v>
      </c>
    </row>
    <row r="66" spans="1:3" x14ac:dyDescent="0.2">
      <c r="A66" s="18" t="s">
        <v>104</v>
      </c>
      <c r="B66" s="19">
        <v>3531</v>
      </c>
      <c r="C66" s="36">
        <f t="shared" si="0"/>
        <v>100000</v>
      </c>
    </row>
    <row r="67" spans="1:3" x14ac:dyDescent="0.2">
      <c r="A67" s="18" t="s">
        <v>164</v>
      </c>
      <c r="B67" s="19">
        <v>3526</v>
      </c>
      <c r="C67" s="36">
        <f t="shared" si="0"/>
        <v>100000</v>
      </c>
    </row>
    <row r="68" spans="1:3" x14ac:dyDescent="0.2">
      <c r="A68" s="18" t="s">
        <v>165</v>
      </c>
      <c r="B68" s="19">
        <v>3535</v>
      </c>
      <c r="C68" s="36">
        <f t="shared" si="0"/>
        <v>100000</v>
      </c>
    </row>
    <row r="69" spans="1:3" x14ac:dyDescent="0.2">
      <c r="A69" s="21" t="s">
        <v>107</v>
      </c>
      <c r="B69" s="19">
        <v>2008</v>
      </c>
      <c r="C69" s="36">
        <f t="shared" si="0"/>
        <v>100000</v>
      </c>
    </row>
    <row r="70" spans="1:3" x14ac:dyDescent="0.2">
      <c r="A70" s="18" t="s">
        <v>166</v>
      </c>
      <c r="B70" s="19">
        <v>3542</v>
      </c>
      <c r="C70" s="36">
        <f t="shared" si="0"/>
        <v>100000</v>
      </c>
    </row>
    <row r="71" spans="1:3" x14ac:dyDescent="0.2">
      <c r="A71" s="18" t="s">
        <v>167</v>
      </c>
      <c r="B71" s="19">
        <v>3528</v>
      </c>
      <c r="C71" s="36">
        <f t="shared" ref="C71:C76" si="1">C$1</f>
        <v>100000</v>
      </c>
    </row>
    <row r="72" spans="1:3" x14ac:dyDescent="0.2">
      <c r="A72" s="18" t="s">
        <v>168</v>
      </c>
      <c r="B72" s="19">
        <v>3534</v>
      </c>
      <c r="C72" s="36">
        <f t="shared" si="1"/>
        <v>100000</v>
      </c>
    </row>
    <row r="73" spans="1:3" x14ac:dyDescent="0.2">
      <c r="A73" s="18" t="s">
        <v>169</v>
      </c>
      <c r="B73" s="19">
        <v>3532</v>
      </c>
      <c r="C73" s="36">
        <f t="shared" si="1"/>
        <v>100000</v>
      </c>
    </row>
    <row r="74" spans="1:3" x14ac:dyDescent="0.2">
      <c r="A74" s="18" t="s">
        <v>112</v>
      </c>
      <c r="B74" s="19">
        <v>3546</v>
      </c>
      <c r="C74" s="36">
        <f t="shared" si="1"/>
        <v>100000</v>
      </c>
    </row>
    <row r="75" spans="1:3" x14ac:dyDescent="0.2">
      <c r="A75" s="18" t="s">
        <v>170</v>
      </c>
      <c r="B75" s="19">
        <v>3530</v>
      </c>
      <c r="C75" s="36">
        <f t="shared" si="1"/>
        <v>100000</v>
      </c>
    </row>
    <row r="76" spans="1:3" x14ac:dyDescent="0.2">
      <c r="A76" s="18" t="s">
        <v>114</v>
      </c>
      <c r="B76" s="19">
        <v>2459</v>
      </c>
      <c r="C76" s="36">
        <f t="shared" si="1"/>
        <v>100000</v>
      </c>
    </row>
    <row r="77" spans="1:3" x14ac:dyDescent="0.2">
      <c r="A77" s="18"/>
      <c r="B77" s="19"/>
      <c r="C77" s="38"/>
    </row>
    <row r="78" spans="1:3" x14ac:dyDescent="0.2">
      <c r="A78" s="9" t="s">
        <v>171</v>
      </c>
      <c r="B78" s="9" t="s">
        <v>171</v>
      </c>
      <c r="C78" s="40">
        <f>SUM(C7:C76)</f>
        <v>7070000</v>
      </c>
    </row>
    <row r="79" spans="1:3" x14ac:dyDescent="0.2">
      <c r="A79" s="18"/>
      <c r="B79" s="19"/>
      <c r="C79" s="38"/>
    </row>
    <row r="80" spans="1:3" x14ac:dyDescent="0.2">
      <c r="A80" s="18" t="s">
        <v>127</v>
      </c>
      <c r="B80" s="19">
        <v>5402</v>
      </c>
      <c r="C80" s="36">
        <f>SUM($C$2)</f>
        <v>150000</v>
      </c>
    </row>
    <row r="81" spans="1:3" x14ac:dyDescent="0.2">
      <c r="A81" s="18" t="s">
        <v>116</v>
      </c>
      <c r="B81" s="19">
        <v>4608</v>
      </c>
      <c r="C81" s="36">
        <f t="shared" ref="C81:C92" si="2">SUM($C$2)</f>
        <v>150000</v>
      </c>
    </row>
    <row r="82" spans="1:3" x14ac:dyDescent="0.2">
      <c r="A82" s="18" t="s">
        <v>172</v>
      </c>
      <c r="B82" s="19">
        <v>4178</v>
      </c>
      <c r="C82" s="36">
        <f t="shared" si="2"/>
        <v>150000</v>
      </c>
    </row>
    <row r="83" spans="1:3" x14ac:dyDescent="0.2">
      <c r="A83" s="18" t="s">
        <v>118</v>
      </c>
      <c r="B83" s="19">
        <v>4181</v>
      </c>
      <c r="C83" s="36">
        <f t="shared" si="2"/>
        <v>150000</v>
      </c>
    </row>
    <row r="84" spans="1:3" x14ac:dyDescent="0.2">
      <c r="A84" s="18" t="s">
        <v>119</v>
      </c>
      <c r="B84" s="19">
        <v>4182</v>
      </c>
      <c r="C84" s="36">
        <f t="shared" si="2"/>
        <v>150000</v>
      </c>
    </row>
    <row r="85" spans="1:3" x14ac:dyDescent="0.2">
      <c r="A85" s="18" t="s">
        <v>120</v>
      </c>
      <c r="B85" s="221">
        <v>4001</v>
      </c>
      <c r="C85" s="36">
        <f t="shared" si="2"/>
        <v>150000</v>
      </c>
    </row>
    <row r="86" spans="1:3" x14ac:dyDescent="0.2">
      <c r="A86" s="18" t="s">
        <v>173</v>
      </c>
      <c r="B86" s="19">
        <v>5406</v>
      </c>
      <c r="C86" s="36">
        <f t="shared" si="2"/>
        <v>150000</v>
      </c>
    </row>
    <row r="87" spans="1:3" x14ac:dyDescent="0.2">
      <c r="A87" s="18" t="s">
        <v>174</v>
      </c>
      <c r="B87" s="19">
        <v>5407</v>
      </c>
      <c r="C87" s="36">
        <f t="shared" si="2"/>
        <v>150000</v>
      </c>
    </row>
    <row r="88" spans="1:3" x14ac:dyDescent="0.2">
      <c r="A88" s="18" t="s">
        <v>123</v>
      </c>
      <c r="B88" s="19">
        <v>4607</v>
      </c>
      <c r="C88" s="36">
        <f t="shared" si="2"/>
        <v>150000</v>
      </c>
    </row>
    <row r="89" spans="1:3" x14ac:dyDescent="0.2">
      <c r="A89" s="18" t="s">
        <v>124</v>
      </c>
      <c r="B89" s="221">
        <v>4002</v>
      </c>
      <c r="C89" s="36">
        <f t="shared" si="2"/>
        <v>150000</v>
      </c>
    </row>
    <row r="90" spans="1:3" x14ac:dyDescent="0.2">
      <c r="A90" s="18" t="s">
        <v>175</v>
      </c>
      <c r="B90" s="19">
        <v>4177</v>
      </c>
      <c r="C90" s="36">
        <f t="shared" si="2"/>
        <v>150000</v>
      </c>
    </row>
    <row r="91" spans="1:3" x14ac:dyDescent="0.2">
      <c r="A91" s="18" t="s">
        <v>126</v>
      </c>
      <c r="B91" s="19">
        <v>5412</v>
      </c>
      <c r="C91" s="36">
        <f t="shared" si="2"/>
        <v>150000</v>
      </c>
    </row>
    <row r="92" spans="1:3" x14ac:dyDescent="0.2">
      <c r="A92" s="18" t="s">
        <v>125</v>
      </c>
      <c r="B92" s="19">
        <v>5414</v>
      </c>
      <c r="C92" s="36">
        <f t="shared" si="2"/>
        <v>150000</v>
      </c>
    </row>
    <row r="93" spans="1:3" x14ac:dyDescent="0.2">
      <c r="A93" s="18"/>
      <c r="B93" s="19"/>
      <c r="C93" s="38"/>
    </row>
    <row r="94" spans="1:3" x14ac:dyDescent="0.2">
      <c r="A94" s="9" t="s">
        <v>176</v>
      </c>
      <c r="B94" s="9" t="s">
        <v>176</v>
      </c>
      <c r="C94" s="40">
        <f>SUM(C80:C92)</f>
        <v>1950000</v>
      </c>
    </row>
    <row r="95" spans="1:3" x14ac:dyDescent="0.2">
      <c r="A95" s="18"/>
      <c r="B95" s="19"/>
      <c r="C95" s="38"/>
    </row>
    <row r="96" spans="1:3" x14ac:dyDescent="0.2">
      <c r="A96" s="9" t="s">
        <v>177</v>
      </c>
      <c r="B96" s="9" t="s">
        <v>178</v>
      </c>
      <c r="C96" s="40">
        <f>C94+C78</f>
        <v>9020000</v>
      </c>
    </row>
    <row r="98" spans="1:2" x14ac:dyDescent="0.2">
      <c r="A98" s="586" t="s">
        <v>867</v>
      </c>
      <c r="B98" s="646">
        <v>12345</v>
      </c>
    </row>
    <row r="101" spans="1:2" x14ac:dyDescent="0.2">
      <c r="B101" t="s">
        <v>271</v>
      </c>
    </row>
    <row r="102" spans="1:2" x14ac:dyDescent="0.2">
      <c r="B102" s="37">
        <v>8400000</v>
      </c>
    </row>
  </sheetData>
  <sheetProtection password="EF5C" sheet="1" objects="1" scenarios="1" selectLockedCells="1" selectUnlockedCells="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
  <sheetViews>
    <sheetView workbookViewId="0">
      <pane xSplit="2" ySplit="6" topLeftCell="J79" activePane="bottomRight" state="frozen"/>
      <selection activeCell="B61" sqref="B61"/>
      <selection pane="topRight" activeCell="B61" sqref="B61"/>
      <selection pane="bottomLeft" activeCell="B61" sqref="B61"/>
      <selection pane="bottomRight" sqref="A1:XFD1048576"/>
    </sheetView>
  </sheetViews>
  <sheetFormatPr defaultRowHeight="12.75" x14ac:dyDescent="0.2"/>
  <cols>
    <col min="1" max="1" width="52.42578125" style="20" bestFit="1" customWidth="1"/>
    <col min="2" max="2" width="17.140625" style="10" bestFit="1" customWidth="1"/>
    <col min="3" max="3" width="14.42578125" style="20" customWidth="1"/>
    <col min="4" max="4" width="11.42578125" style="20" customWidth="1"/>
    <col min="5" max="5" width="10.85546875" style="20" customWidth="1"/>
    <col min="6" max="6" width="13.140625" style="20" customWidth="1"/>
    <col min="7" max="7" width="9.140625" style="20"/>
    <col min="8" max="8" width="12" style="20" customWidth="1"/>
    <col min="9" max="9" width="15.85546875" style="20" bestFit="1" customWidth="1"/>
    <col min="10" max="10" width="11.7109375" style="20" customWidth="1"/>
    <col min="11" max="11" width="11.85546875" style="20" customWidth="1"/>
    <col min="12" max="12" width="12.7109375" style="20" customWidth="1"/>
    <col min="13" max="13" width="9.140625" style="20"/>
    <col min="14" max="14" width="16.42578125" style="27" customWidth="1"/>
    <col min="15" max="15" width="12" style="223" bestFit="1" customWidth="1"/>
    <col min="16" max="16" width="20.85546875" style="223" customWidth="1"/>
    <col min="17" max="17" width="13" style="223" bestFit="1" customWidth="1"/>
    <col min="18" max="18" width="9.140625" style="223"/>
    <col min="19" max="19" width="8.5703125" style="223" customWidth="1"/>
    <col min="20" max="16384" width="9.140625" style="223"/>
  </cols>
  <sheetData>
    <row r="1" spans="1:25" x14ac:dyDescent="0.2">
      <c r="A1" s="9" t="s">
        <v>137</v>
      </c>
      <c r="C1" s="1245"/>
      <c r="D1" s="12"/>
      <c r="E1" s="12"/>
      <c r="F1" s="12"/>
      <c r="G1" s="12"/>
      <c r="H1" s="12"/>
      <c r="I1" s="12"/>
      <c r="J1" s="187">
        <v>-73.013413092534805</v>
      </c>
      <c r="K1" s="188"/>
      <c r="L1" s="188"/>
      <c r="M1" s="12"/>
      <c r="N1" s="201" t="s">
        <v>259</v>
      </c>
      <c r="O1" s="202"/>
      <c r="Q1" s="223" t="s">
        <v>251</v>
      </c>
      <c r="R1" s="11">
        <v>2446.6118278723425</v>
      </c>
      <c r="T1" s="223">
        <v>42.28</v>
      </c>
    </row>
    <row r="2" spans="1:25" x14ac:dyDescent="0.2">
      <c r="A2" s="9" t="s">
        <v>138</v>
      </c>
      <c r="C2" s="1245"/>
      <c r="D2" s="12"/>
      <c r="E2" s="12"/>
      <c r="F2" s="12"/>
      <c r="G2" s="12"/>
      <c r="H2" s="12"/>
      <c r="I2" s="12"/>
      <c r="J2" s="188"/>
      <c r="K2" s="188"/>
      <c r="L2" s="188"/>
      <c r="M2" s="12"/>
      <c r="N2" s="1241">
        <f>J1</f>
        <v>-73.013413092534805</v>
      </c>
      <c r="O2" s="1242"/>
      <c r="P2" s="223">
        <v>0.2499739793612559</v>
      </c>
      <c r="W2" s="1241">
        <v>2552.5156000000002</v>
      </c>
      <c r="X2" s="1242"/>
      <c r="Y2" s="223" t="s">
        <v>275</v>
      </c>
    </row>
    <row r="3" spans="1:25" x14ac:dyDescent="0.2">
      <c r="A3" s="9" t="s">
        <v>139</v>
      </c>
      <c r="C3" s="189"/>
      <c r="D3" s="11"/>
      <c r="E3" s="12"/>
      <c r="F3" s="12"/>
      <c r="G3" s="12"/>
      <c r="H3" s="12"/>
      <c r="I3" s="190"/>
      <c r="J3" s="188"/>
      <c r="K3" s="187">
        <v>-59.501067947573901</v>
      </c>
      <c r="L3" s="188"/>
      <c r="M3" s="12"/>
      <c r="N3" s="1241">
        <f>K3</f>
        <v>-59.501067947573901</v>
      </c>
      <c r="O3" s="1242"/>
      <c r="P3" s="223">
        <v>0.35346298564628315</v>
      </c>
      <c r="Q3" s="223" t="s">
        <v>252</v>
      </c>
      <c r="R3" s="11">
        <v>3457.5144409338454</v>
      </c>
      <c r="T3" s="223">
        <v>83.94</v>
      </c>
      <c r="W3" s="1241">
        <v>3609.2548000000002</v>
      </c>
      <c r="X3" s="1242"/>
      <c r="Y3" s="223" t="s">
        <v>275</v>
      </c>
    </row>
    <row r="4" spans="1:25" x14ac:dyDescent="0.2">
      <c r="A4" s="9" t="s">
        <v>140</v>
      </c>
      <c r="C4" s="189"/>
      <c r="D4" s="11"/>
      <c r="E4" s="11"/>
      <c r="F4" s="11"/>
      <c r="G4" s="11"/>
      <c r="H4" s="11"/>
      <c r="I4" s="11"/>
      <c r="J4" s="187"/>
      <c r="K4" s="187"/>
      <c r="L4" s="187">
        <v>-59.501067947573901</v>
      </c>
      <c r="M4" s="11"/>
      <c r="N4" s="1243">
        <f>L4</f>
        <v>-59.501067947573901</v>
      </c>
      <c r="O4" s="1244"/>
      <c r="P4" s="223">
        <v>0.39656303499246098</v>
      </c>
      <c r="Q4" s="223" t="s">
        <v>253</v>
      </c>
      <c r="R4" s="11">
        <v>3897.6142760268608</v>
      </c>
      <c r="T4" s="223">
        <v>83.94</v>
      </c>
      <c r="W4" s="1243">
        <v>4049.3548000000001</v>
      </c>
      <c r="X4" s="1244"/>
      <c r="Y4" s="223" t="s">
        <v>275</v>
      </c>
    </row>
    <row r="5" spans="1:25" x14ac:dyDescent="0.2">
      <c r="A5" s="9" t="s">
        <v>141</v>
      </c>
      <c r="C5" s="189"/>
      <c r="D5" s="11"/>
      <c r="E5" s="11"/>
      <c r="F5" s="11"/>
      <c r="G5" s="11"/>
      <c r="H5" s="11"/>
      <c r="I5" s="239"/>
      <c r="J5" s="11"/>
      <c r="K5" s="11"/>
      <c r="L5" s="187"/>
      <c r="M5" s="11"/>
      <c r="P5" s="190"/>
    </row>
    <row r="6" spans="1:25" ht="63.75" x14ac:dyDescent="0.2">
      <c r="A6" s="25" t="s">
        <v>180</v>
      </c>
      <c r="B6" s="15" t="s">
        <v>181</v>
      </c>
      <c r="C6" s="16" t="s">
        <v>143</v>
      </c>
      <c r="D6" s="16" t="s">
        <v>144</v>
      </c>
      <c r="E6" s="16" t="s">
        <v>145</v>
      </c>
      <c r="F6" s="16" t="s">
        <v>146</v>
      </c>
      <c r="G6" s="16" t="s">
        <v>147</v>
      </c>
      <c r="H6" s="16" t="s">
        <v>148</v>
      </c>
      <c r="I6" s="16" t="s">
        <v>149</v>
      </c>
      <c r="J6" s="14" t="s">
        <v>150</v>
      </c>
      <c r="K6" s="14" t="s">
        <v>151</v>
      </c>
      <c r="L6" s="14" t="s">
        <v>152</v>
      </c>
      <c r="M6" s="14" t="s">
        <v>153</v>
      </c>
      <c r="N6" s="28" t="s">
        <v>154</v>
      </c>
      <c r="W6" s="16"/>
      <c r="X6" s="16"/>
      <c r="Y6" s="16"/>
    </row>
    <row r="7" spans="1:25" x14ac:dyDescent="0.2">
      <c r="A7" s="18" t="s">
        <v>44</v>
      </c>
      <c r="B7" s="19">
        <v>2400</v>
      </c>
      <c r="C7" s="18">
        <v>323</v>
      </c>
      <c r="D7" s="18">
        <v>0</v>
      </c>
      <c r="E7" s="18">
        <v>0</v>
      </c>
      <c r="F7" s="18">
        <f>SUM(C7:E7)</f>
        <v>323</v>
      </c>
      <c r="G7" s="18">
        <v>0</v>
      </c>
      <c r="H7" s="18">
        <v>0</v>
      </c>
      <c r="I7" s="18">
        <v>0</v>
      </c>
      <c r="J7" s="18">
        <f>C7-G7</f>
        <v>323</v>
      </c>
      <c r="K7" s="18">
        <f>D7-H7</f>
        <v>0</v>
      </c>
      <c r="L7" s="18">
        <f>E7-I7</f>
        <v>0</v>
      </c>
      <c r="M7" s="18">
        <f>SUM(J7:L7)</f>
        <v>323</v>
      </c>
      <c r="N7" s="30">
        <f>SUM(J7*$J$1)+SUM(K7*$K$3)+SUM(L7*$L$4)</f>
        <v>-23583.332428888742</v>
      </c>
      <c r="O7" s="188"/>
      <c r="W7" s="18"/>
      <c r="X7" s="18"/>
      <c r="Y7" s="18"/>
    </row>
    <row r="8" spans="1:25" x14ac:dyDescent="0.2">
      <c r="A8" s="18" t="s">
        <v>45</v>
      </c>
      <c r="B8" s="19">
        <v>2443</v>
      </c>
      <c r="C8" s="18">
        <v>259</v>
      </c>
      <c r="D8" s="18">
        <v>0</v>
      </c>
      <c r="E8" s="18">
        <v>0</v>
      </c>
      <c r="F8" s="18">
        <f t="shared" ref="F8:F71" si="0">SUM(C8:E8)</f>
        <v>259</v>
      </c>
      <c r="G8" s="18">
        <v>0</v>
      </c>
      <c r="H8" s="18">
        <v>0</v>
      </c>
      <c r="I8" s="18">
        <v>0</v>
      </c>
      <c r="J8" s="18">
        <f t="shared" ref="J8:L71" si="1">C8-G8</f>
        <v>259</v>
      </c>
      <c r="K8" s="18">
        <f t="shared" si="1"/>
        <v>0</v>
      </c>
      <c r="L8" s="18">
        <f t="shared" si="1"/>
        <v>0</v>
      </c>
      <c r="M8" s="18">
        <f t="shared" ref="M8:M71" si="2">SUM(J8:L8)</f>
        <v>259</v>
      </c>
      <c r="N8" s="30">
        <f t="shared" ref="N8:N71" si="3">SUM(J8*$J$1)+SUM(K8*$K$3)+SUM(L8*$L$4)</f>
        <v>-18910.473990966515</v>
      </c>
      <c r="W8" s="18"/>
      <c r="X8" s="18"/>
      <c r="Y8" s="18"/>
    </row>
    <row r="9" spans="1:25" x14ac:dyDescent="0.2">
      <c r="A9" s="18" t="s">
        <v>155</v>
      </c>
      <c r="B9" s="19">
        <v>2442</v>
      </c>
      <c r="C9" s="18">
        <v>306</v>
      </c>
      <c r="D9" s="18">
        <v>0</v>
      </c>
      <c r="E9" s="18">
        <v>0</v>
      </c>
      <c r="F9" s="18">
        <f t="shared" si="0"/>
        <v>306</v>
      </c>
      <c r="G9" s="18">
        <v>12</v>
      </c>
      <c r="H9" s="18">
        <v>0</v>
      </c>
      <c r="I9" s="18">
        <v>0</v>
      </c>
      <c r="J9" s="18">
        <f t="shared" si="1"/>
        <v>294</v>
      </c>
      <c r="K9" s="18">
        <f t="shared" si="1"/>
        <v>0</v>
      </c>
      <c r="L9" s="18">
        <f t="shared" si="1"/>
        <v>0</v>
      </c>
      <c r="M9" s="18">
        <f t="shared" si="2"/>
        <v>294</v>
      </c>
      <c r="N9" s="30">
        <f t="shared" si="3"/>
        <v>-21465.943449205231</v>
      </c>
      <c r="W9" s="18"/>
      <c r="X9" s="18"/>
      <c r="Y9" s="18"/>
    </row>
    <row r="10" spans="1:25" x14ac:dyDescent="0.2">
      <c r="A10" s="18" t="s">
        <v>47</v>
      </c>
      <c r="B10" s="19">
        <v>2629</v>
      </c>
      <c r="C10" s="18">
        <v>406</v>
      </c>
      <c r="D10" s="18">
        <v>0</v>
      </c>
      <c r="E10" s="18">
        <v>0</v>
      </c>
      <c r="F10" s="18">
        <f t="shared" si="0"/>
        <v>406</v>
      </c>
      <c r="G10" s="18">
        <v>5</v>
      </c>
      <c r="H10" s="18">
        <v>0</v>
      </c>
      <c r="I10" s="18">
        <v>0</v>
      </c>
      <c r="J10" s="18">
        <f t="shared" si="1"/>
        <v>401</v>
      </c>
      <c r="K10" s="18">
        <f t="shared" si="1"/>
        <v>0</v>
      </c>
      <c r="L10" s="18">
        <f t="shared" si="1"/>
        <v>0</v>
      </c>
      <c r="M10" s="18">
        <f t="shared" si="2"/>
        <v>401</v>
      </c>
      <c r="N10" s="30">
        <f t="shared" si="3"/>
        <v>-29278.378650106457</v>
      </c>
      <c r="W10" s="18"/>
      <c r="X10" s="18"/>
      <c r="Y10" s="18"/>
    </row>
    <row r="11" spans="1:25" x14ac:dyDescent="0.2">
      <c r="A11" s="18" t="s">
        <v>48</v>
      </c>
      <c r="B11" s="19">
        <v>2509</v>
      </c>
      <c r="C11" s="18">
        <v>188</v>
      </c>
      <c r="D11" s="18">
        <v>0</v>
      </c>
      <c r="E11" s="18">
        <v>0</v>
      </c>
      <c r="F11" s="18">
        <f t="shared" si="0"/>
        <v>188</v>
      </c>
      <c r="G11" s="18">
        <v>0</v>
      </c>
      <c r="H11" s="18">
        <v>0</v>
      </c>
      <c r="I11" s="18">
        <v>0</v>
      </c>
      <c r="J11" s="18">
        <f t="shared" si="1"/>
        <v>188</v>
      </c>
      <c r="K11" s="18">
        <f t="shared" si="1"/>
        <v>0</v>
      </c>
      <c r="L11" s="18">
        <f t="shared" si="1"/>
        <v>0</v>
      </c>
      <c r="M11" s="18">
        <f t="shared" si="2"/>
        <v>188</v>
      </c>
      <c r="N11" s="30">
        <f t="shared" si="3"/>
        <v>-13726.521661396544</v>
      </c>
      <c r="W11" s="18"/>
      <c r="X11" s="18"/>
      <c r="Y11" s="18"/>
    </row>
    <row r="12" spans="1:25" x14ac:dyDescent="0.2">
      <c r="A12" s="18" t="s">
        <v>49</v>
      </c>
      <c r="B12" s="19">
        <v>2005</v>
      </c>
      <c r="C12" s="18">
        <v>300</v>
      </c>
      <c r="D12" s="18">
        <v>0</v>
      </c>
      <c r="E12" s="18">
        <v>0</v>
      </c>
      <c r="F12" s="18">
        <f t="shared" si="0"/>
        <v>300</v>
      </c>
      <c r="G12" s="18">
        <v>0</v>
      </c>
      <c r="H12" s="18">
        <v>0</v>
      </c>
      <c r="I12" s="18">
        <v>0</v>
      </c>
      <c r="J12" s="18">
        <f t="shared" si="1"/>
        <v>300</v>
      </c>
      <c r="K12" s="18">
        <f t="shared" si="1"/>
        <v>0</v>
      </c>
      <c r="L12" s="18">
        <f t="shared" si="1"/>
        <v>0</v>
      </c>
      <c r="M12" s="18">
        <f t="shared" si="2"/>
        <v>300</v>
      </c>
      <c r="N12" s="30">
        <f t="shared" si="3"/>
        <v>-21904.023927760441</v>
      </c>
      <c r="W12" s="18"/>
      <c r="X12" s="18"/>
      <c r="Y12" s="18"/>
    </row>
    <row r="13" spans="1:25" x14ac:dyDescent="0.2">
      <c r="A13" s="18" t="s">
        <v>50</v>
      </c>
      <c r="B13" s="19">
        <v>2464</v>
      </c>
      <c r="C13" s="18">
        <v>186</v>
      </c>
      <c r="D13" s="18">
        <v>0</v>
      </c>
      <c r="E13" s="18">
        <v>0</v>
      </c>
      <c r="F13" s="18">
        <f t="shared" si="0"/>
        <v>186</v>
      </c>
      <c r="G13" s="18">
        <v>0</v>
      </c>
      <c r="H13" s="18">
        <v>0</v>
      </c>
      <c r="I13" s="18">
        <v>0</v>
      </c>
      <c r="J13" s="18">
        <f t="shared" si="1"/>
        <v>186</v>
      </c>
      <c r="K13" s="18">
        <f t="shared" si="1"/>
        <v>0</v>
      </c>
      <c r="L13" s="18">
        <f t="shared" si="1"/>
        <v>0</v>
      </c>
      <c r="M13" s="18">
        <f t="shared" si="2"/>
        <v>186</v>
      </c>
      <c r="N13" s="30">
        <f t="shared" si="3"/>
        <v>-13580.494835211473</v>
      </c>
      <c r="W13" s="18"/>
      <c r="X13" s="18"/>
      <c r="Y13" s="18"/>
    </row>
    <row r="14" spans="1:25" x14ac:dyDescent="0.2">
      <c r="A14" s="18" t="s">
        <v>51</v>
      </c>
      <c r="B14" s="19">
        <v>2004</v>
      </c>
      <c r="C14" s="18">
        <v>265</v>
      </c>
      <c r="D14" s="18">
        <v>0</v>
      </c>
      <c r="E14" s="18">
        <v>0</v>
      </c>
      <c r="F14" s="18">
        <f t="shared" si="0"/>
        <v>265</v>
      </c>
      <c r="G14" s="18">
        <v>0</v>
      </c>
      <c r="H14" s="18">
        <v>0</v>
      </c>
      <c r="I14" s="18">
        <v>0</v>
      </c>
      <c r="J14" s="18">
        <f t="shared" si="1"/>
        <v>265</v>
      </c>
      <c r="K14" s="18">
        <f t="shared" si="1"/>
        <v>0</v>
      </c>
      <c r="L14" s="18">
        <f t="shared" si="1"/>
        <v>0</v>
      </c>
      <c r="M14" s="18">
        <f t="shared" si="2"/>
        <v>265</v>
      </c>
      <c r="N14" s="30">
        <f t="shared" si="3"/>
        <v>-19348.554469521725</v>
      </c>
      <c r="W14" s="18"/>
      <c r="X14" s="18"/>
      <c r="Y14" s="18"/>
    </row>
    <row r="15" spans="1:25" x14ac:dyDescent="0.2">
      <c r="A15" s="18" t="s">
        <v>52</v>
      </c>
      <c r="B15" s="19">
        <v>2405</v>
      </c>
      <c r="C15" s="18">
        <v>202</v>
      </c>
      <c r="D15" s="18">
        <v>0</v>
      </c>
      <c r="E15" s="18">
        <v>0</v>
      </c>
      <c r="F15" s="18">
        <f t="shared" si="0"/>
        <v>202</v>
      </c>
      <c r="G15" s="18">
        <v>6</v>
      </c>
      <c r="H15" s="18">
        <v>0</v>
      </c>
      <c r="I15" s="18">
        <v>0</v>
      </c>
      <c r="J15" s="18">
        <f t="shared" si="1"/>
        <v>196</v>
      </c>
      <c r="K15" s="18">
        <f t="shared" si="1"/>
        <v>0</v>
      </c>
      <c r="L15" s="18">
        <f t="shared" si="1"/>
        <v>0</v>
      </c>
      <c r="M15" s="18">
        <f t="shared" si="2"/>
        <v>196</v>
      </c>
      <c r="N15" s="30">
        <f t="shared" si="3"/>
        <v>-14310.628966136821</v>
      </c>
      <c r="W15" s="18"/>
      <c r="X15" s="18"/>
      <c r="Y15" s="18"/>
    </row>
    <row r="16" spans="1:25" x14ac:dyDescent="0.2">
      <c r="A16" s="18" t="s">
        <v>156</v>
      </c>
      <c r="B16" s="19">
        <v>3525</v>
      </c>
      <c r="C16" s="18">
        <v>209</v>
      </c>
      <c r="D16" s="18">
        <v>0</v>
      </c>
      <c r="E16" s="18">
        <v>0</v>
      </c>
      <c r="F16" s="18">
        <f t="shared" si="0"/>
        <v>209</v>
      </c>
      <c r="G16" s="18">
        <v>0</v>
      </c>
      <c r="H16" s="18">
        <v>0</v>
      </c>
      <c r="I16" s="18">
        <v>0</v>
      </c>
      <c r="J16" s="18">
        <f t="shared" si="1"/>
        <v>209</v>
      </c>
      <c r="K16" s="18">
        <f t="shared" si="1"/>
        <v>0</v>
      </c>
      <c r="L16" s="18">
        <f t="shared" si="1"/>
        <v>0</v>
      </c>
      <c r="M16" s="18">
        <f t="shared" si="2"/>
        <v>209</v>
      </c>
      <c r="N16" s="30">
        <f t="shared" si="3"/>
        <v>-15259.803336339774</v>
      </c>
      <c r="W16" s="18"/>
      <c r="X16" s="18"/>
      <c r="Y16" s="18"/>
    </row>
    <row r="17" spans="1:25" x14ac:dyDescent="0.2">
      <c r="A17" s="18" t="s">
        <v>54</v>
      </c>
      <c r="B17" s="19">
        <v>5201</v>
      </c>
      <c r="C17" s="18">
        <v>392</v>
      </c>
      <c r="D17" s="18">
        <v>0</v>
      </c>
      <c r="E17" s="18">
        <v>0</v>
      </c>
      <c r="F17" s="18">
        <f t="shared" si="0"/>
        <v>392</v>
      </c>
      <c r="G17" s="18">
        <v>0</v>
      </c>
      <c r="H17" s="18">
        <v>0</v>
      </c>
      <c r="I17" s="18">
        <v>0</v>
      </c>
      <c r="J17" s="18">
        <f t="shared" si="1"/>
        <v>392</v>
      </c>
      <c r="K17" s="18">
        <f t="shared" si="1"/>
        <v>0</v>
      </c>
      <c r="L17" s="18">
        <f t="shared" si="1"/>
        <v>0</v>
      </c>
      <c r="M17" s="18">
        <f t="shared" si="2"/>
        <v>392</v>
      </c>
      <c r="N17" s="30">
        <f t="shared" si="3"/>
        <v>-28621.257932273642</v>
      </c>
      <c r="W17" s="18"/>
      <c r="X17" s="18"/>
      <c r="Y17" s="18"/>
    </row>
    <row r="18" spans="1:25" s="241" customFormat="1" x14ac:dyDescent="0.2">
      <c r="A18" s="246" t="s">
        <v>157</v>
      </c>
      <c r="B18" s="220">
        <v>2007</v>
      </c>
      <c r="C18" s="246">
        <v>259</v>
      </c>
      <c r="D18" s="246">
        <v>0</v>
      </c>
      <c r="E18" s="246">
        <v>0</v>
      </c>
      <c r="F18" s="246">
        <f t="shared" si="0"/>
        <v>259</v>
      </c>
      <c r="G18" s="246">
        <v>0</v>
      </c>
      <c r="H18" s="246">
        <v>0</v>
      </c>
      <c r="I18" s="246">
        <v>0</v>
      </c>
      <c r="J18" s="246">
        <v>0</v>
      </c>
      <c r="K18" s="246">
        <f t="shared" si="1"/>
        <v>0</v>
      </c>
      <c r="L18" s="246">
        <f t="shared" si="1"/>
        <v>0</v>
      </c>
      <c r="M18" s="246">
        <v>0</v>
      </c>
      <c r="N18" s="242">
        <f t="shared" si="3"/>
        <v>0</v>
      </c>
      <c r="W18" s="246"/>
      <c r="X18" s="246"/>
      <c r="Y18" s="246"/>
    </row>
    <row r="19" spans="1:25" x14ac:dyDescent="0.2">
      <c r="A19" s="18" t="s">
        <v>56</v>
      </c>
      <c r="B19" s="19">
        <v>2433</v>
      </c>
      <c r="C19" s="18">
        <v>192</v>
      </c>
      <c r="D19" s="18">
        <v>0</v>
      </c>
      <c r="E19" s="18">
        <v>0</v>
      </c>
      <c r="F19" s="18">
        <f t="shared" si="0"/>
        <v>192</v>
      </c>
      <c r="G19" s="18">
        <v>23</v>
      </c>
      <c r="H19" s="18">
        <v>0</v>
      </c>
      <c r="I19" s="18">
        <v>0</v>
      </c>
      <c r="J19" s="18">
        <f t="shared" si="1"/>
        <v>169</v>
      </c>
      <c r="K19" s="18">
        <f t="shared" si="1"/>
        <v>0</v>
      </c>
      <c r="L19" s="18">
        <f t="shared" si="1"/>
        <v>0</v>
      </c>
      <c r="M19" s="18">
        <f t="shared" si="2"/>
        <v>169</v>
      </c>
      <c r="N19" s="30">
        <f t="shared" si="3"/>
        <v>-12339.266812638381</v>
      </c>
      <c r="W19" s="18"/>
      <c r="X19" s="18"/>
      <c r="Y19" s="18"/>
    </row>
    <row r="20" spans="1:25" x14ac:dyDescent="0.2">
      <c r="A20" s="18" t="s">
        <v>57</v>
      </c>
      <c r="B20" s="19">
        <v>2432</v>
      </c>
      <c r="C20" s="18">
        <v>233</v>
      </c>
      <c r="D20" s="18">
        <v>0</v>
      </c>
      <c r="E20" s="18">
        <v>0</v>
      </c>
      <c r="F20" s="18">
        <f t="shared" si="0"/>
        <v>233</v>
      </c>
      <c r="G20" s="18">
        <v>34</v>
      </c>
      <c r="H20" s="18">
        <v>0</v>
      </c>
      <c r="I20" s="18">
        <v>0</v>
      </c>
      <c r="J20" s="18">
        <f t="shared" si="1"/>
        <v>199</v>
      </c>
      <c r="K20" s="18">
        <f t="shared" si="1"/>
        <v>0</v>
      </c>
      <c r="L20" s="18">
        <f t="shared" si="1"/>
        <v>0</v>
      </c>
      <c r="M20" s="18">
        <f t="shared" si="2"/>
        <v>199</v>
      </c>
      <c r="N20" s="30">
        <f t="shared" si="3"/>
        <v>-14529.669205414426</v>
      </c>
      <c r="W20" s="18"/>
      <c r="X20" s="18"/>
      <c r="Y20" s="18"/>
    </row>
    <row r="21" spans="1:25" x14ac:dyDescent="0.2">
      <c r="A21" s="18" t="s">
        <v>58</v>
      </c>
      <c r="B21" s="19">
        <v>2446</v>
      </c>
      <c r="C21" s="18">
        <v>177</v>
      </c>
      <c r="D21" s="18">
        <v>0</v>
      </c>
      <c r="E21" s="18">
        <v>0</v>
      </c>
      <c r="F21" s="18">
        <f t="shared" si="0"/>
        <v>177</v>
      </c>
      <c r="G21" s="18">
        <v>0</v>
      </c>
      <c r="H21" s="18">
        <v>0</v>
      </c>
      <c r="I21" s="18">
        <v>0</v>
      </c>
      <c r="J21" s="18">
        <f t="shared" si="1"/>
        <v>177</v>
      </c>
      <c r="K21" s="18">
        <f t="shared" si="1"/>
        <v>0</v>
      </c>
      <c r="L21" s="18">
        <f t="shared" si="1"/>
        <v>0</v>
      </c>
      <c r="M21" s="18">
        <f t="shared" si="2"/>
        <v>177</v>
      </c>
      <c r="N21" s="30">
        <f t="shared" si="3"/>
        <v>-12923.37411737866</v>
      </c>
      <c r="W21" s="18"/>
      <c r="X21" s="18"/>
      <c r="Y21" s="18"/>
    </row>
    <row r="22" spans="1:25" x14ac:dyDescent="0.2">
      <c r="A22" s="18" t="s">
        <v>59</v>
      </c>
      <c r="B22" s="19">
        <v>2447</v>
      </c>
      <c r="C22" s="18">
        <v>225</v>
      </c>
      <c r="D22" s="18">
        <v>0</v>
      </c>
      <c r="E22" s="18">
        <v>0</v>
      </c>
      <c r="F22" s="18">
        <f t="shared" si="0"/>
        <v>225</v>
      </c>
      <c r="G22" s="18">
        <v>0</v>
      </c>
      <c r="H22" s="18">
        <v>0</v>
      </c>
      <c r="I22" s="18">
        <v>0</v>
      </c>
      <c r="J22" s="18">
        <f t="shared" si="1"/>
        <v>225</v>
      </c>
      <c r="K22" s="18">
        <f t="shared" si="1"/>
        <v>0</v>
      </c>
      <c r="L22" s="18">
        <f t="shared" si="1"/>
        <v>0</v>
      </c>
      <c r="M22" s="18">
        <f t="shared" si="2"/>
        <v>225</v>
      </c>
      <c r="N22" s="30">
        <f t="shared" si="3"/>
        <v>-16428.017945820331</v>
      </c>
      <c r="W22" s="18"/>
      <c r="X22" s="18"/>
      <c r="Y22" s="18"/>
    </row>
    <row r="23" spans="1:25" x14ac:dyDescent="0.2">
      <c r="A23" s="18" t="s">
        <v>60</v>
      </c>
      <c r="B23" s="19">
        <v>2512</v>
      </c>
      <c r="C23" s="18">
        <v>208</v>
      </c>
      <c r="D23" s="18">
        <v>0</v>
      </c>
      <c r="E23" s="18">
        <v>0</v>
      </c>
      <c r="F23" s="18">
        <f t="shared" si="0"/>
        <v>208</v>
      </c>
      <c r="G23" s="18">
        <v>0</v>
      </c>
      <c r="H23" s="18">
        <v>0</v>
      </c>
      <c r="I23" s="18">
        <v>0</v>
      </c>
      <c r="J23" s="18">
        <f t="shared" si="1"/>
        <v>208</v>
      </c>
      <c r="K23" s="18">
        <f t="shared" si="1"/>
        <v>0</v>
      </c>
      <c r="L23" s="18">
        <f t="shared" si="1"/>
        <v>0</v>
      </c>
      <c r="M23" s="18">
        <f t="shared" si="2"/>
        <v>208</v>
      </c>
      <c r="N23" s="30">
        <f t="shared" si="3"/>
        <v>-15186.789923247239</v>
      </c>
      <c r="W23" s="18"/>
      <c r="X23" s="18"/>
      <c r="Y23" s="18"/>
    </row>
    <row r="24" spans="1:25" x14ac:dyDescent="0.2">
      <c r="A24" s="18" t="s">
        <v>61</v>
      </c>
      <c r="B24" s="19">
        <v>2456</v>
      </c>
      <c r="C24" s="18">
        <v>178</v>
      </c>
      <c r="D24" s="18">
        <v>0</v>
      </c>
      <c r="E24" s="18">
        <v>0</v>
      </c>
      <c r="F24" s="18">
        <f t="shared" si="0"/>
        <v>178</v>
      </c>
      <c r="G24" s="18">
        <v>0</v>
      </c>
      <c r="H24" s="18">
        <v>0</v>
      </c>
      <c r="I24" s="18">
        <v>0</v>
      </c>
      <c r="J24" s="18">
        <f t="shared" si="1"/>
        <v>178</v>
      </c>
      <c r="K24" s="18">
        <f t="shared" si="1"/>
        <v>0</v>
      </c>
      <c r="L24" s="18">
        <f t="shared" si="1"/>
        <v>0</v>
      </c>
      <c r="M24" s="18">
        <f t="shared" si="2"/>
        <v>178</v>
      </c>
      <c r="N24" s="30">
        <f t="shared" si="3"/>
        <v>-12996.387530471195</v>
      </c>
      <c r="W24" s="18"/>
      <c r="X24" s="18"/>
      <c r="Y24" s="18"/>
    </row>
    <row r="25" spans="1:25" x14ac:dyDescent="0.2">
      <c r="A25" s="18" t="s">
        <v>62</v>
      </c>
      <c r="B25" s="19">
        <v>2449</v>
      </c>
      <c r="C25" s="18">
        <v>268</v>
      </c>
      <c r="D25" s="18">
        <v>0</v>
      </c>
      <c r="E25" s="18">
        <v>0</v>
      </c>
      <c r="F25" s="18">
        <f t="shared" si="0"/>
        <v>268</v>
      </c>
      <c r="G25" s="18">
        <v>0</v>
      </c>
      <c r="H25" s="18">
        <v>0</v>
      </c>
      <c r="I25" s="18">
        <v>0</v>
      </c>
      <c r="J25" s="18">
        <f t="shared" si="1"/>
        <v>268</v>
      </c>
      <c r="K25" s="18">
        <f t="shared" si="1"/>
        <v>0</v>
      </c>
      <c r="L25" s="18">
        <f t="shared" si="1"/>
        <v>0</v>
      </c>
      <c r="M25" s="18">
        <f t="shared" si="2"/>
        <v>268</v>
      </c>
      <c r="N25" s="30">
        <f t="shared" si="3"/>
        <v>-19567.594708799326</v>
      </c>
      <c r="W25" s="18"/>
      <c r="X25" s="18"/>
      <c r="Y25" s="18"/>
    </row>
    <row r="26" spans="1:25" x14ac:dyDescent="0.2">
      <c r="A26" s="18" t="s">
        <v>63</v>
      </c>
      <c r="B26" s="19">
        <v>2448</v>
      </c>
      <c r="C26" s="18">
        <v>311</v>
      </c>
      <c r="D26" s="18">
        <v>0</v>
      </c>
      <c r="E26" s="18">
        <v>0</v>
      </c>
      <c r="F26" s="18">
        <f t="shared" si="0"/>
        <v>311</v>
      </c>
      <c r="G26" s="18">
        <v>0</v>
      </c>
      <c r="H26" s="18">
        <v>0</v>
      </c>
      <c r="I26" s="18">
        <v>0</v>
      </c>
      <c r="J26" s="18">
        <f t="shared" si="1"/>
        <v>311</v>
      </c>
      <c r="K26" s="18">
        <f t="shared" si="1"/>
        <v>0</v>
      </c>
      <c r="L26" s="18">
        <f t="shared" si="1"/>
        <v>0</v>
      </c>
      <c r="M26" s="18">
        <f t="shared" si="2"/>
        <v>311</v>
      </c>
      <c r="N26" s="30">
        <f t="shared" si="3"/>
        <v>-22707.171471778325</v>
      </c>
      <c r="W26" s="18"/>
      <c r="X26" s="18"/>
      <c r="Y26" s="18"/>
    </row>
    <row r="27" spans="1:25" x14ac:dyDescent="0.2">
      <c r="A27" s="18" t="s">
        <v>158</v>
      </c>
      <c r="B27" s="19">
        <v>2467</v>
      </c>
      <c r="C27" s="18">
        <v>362</v>
      </c>
      <c r="D27" s="18">
        <v>0</v>
      </c>
      <c r="E27" s="18">
        <v>0</v>
      </c>
      <c r="F27" s="18">
        <f t="shared" si="0"/>
        <v>362</v>
      </c>
      <c r="G27" s="18">
        <v>0</v>
      </c>
      <c r="H27" s="18">
        <v>0</v>
      </c>
      <c r="I27" s="18">
        <v>0</v>
      </c>
      <c r="J27" s="18">
        <f t="shared" si="1"/>
        <v>362</v>
      </c>
      <c r="K27" s="18">
        <f t="shared" si="1"/>
        <v>0</v>
      </c>
      <c r="L27" s="18">
        <f t="shared" si="1"/>
        <v>0</v>
      </c>
      <c r="M27" s="18">
        <f t="shared" si="2"/>
        <v>362</v>
      </c>
      <c r="N27" s="30">
        <f t="shared" si="3"/>
        <v>-26430.855539497599</v>
      </c>
      <c r="W27" s="18"/>
      <c r="X27" s="18"/>
      <c r="Y27" s="18"/>
    </row>
    <row r="28" spans="1:25" x14ac:dyDescent="0.2">
      <c r="A28" s="18" t="s">
        <v>65</v>
      </c>
      <c r="B28" s="19">
        <v>2455</v>
      </c>
      <c r="C28" s="18">
        <v>355</v>
      </c>
      <c r="D28" s="18">
        <v>0</v>
      </c>
      <c r="E28" s="18">
        <v>0</v>
      </c>
      <c r="F28" s="18">
        <f t="shared" si="0"/>
        <v>355</v>
      </c>
      <c r="G28" s="18">
        <v>0</v>
      </c>
      <c r="H28" s="18">
        <v>0</v>
      </c>
      <c r="I28" s="18">
        <v>0</v>
      </c>
      <c r="J28" s="18">
        <f t="shared" si="1"/>
        <v>355</v>
      </c>
      <c r="K28" s="18">
        <f t="shared" si="1"/>
        <v>0</v>
      </c>
      <c r="L28" s="18">
        <f t="shared" si="1"/>
        <v>0</v>
      </c>
      <c r="M28" s="18">
        <f t="shared" si="2"/>
        <v>355</v>
      </c>
      <c r="N28" s="30">
        <f t="shared" si="3"/>
        <v>-25919.761647849857</v>
      </c>
      <c r="W28" s="18"/>
      <c r="X28" s="18"/>
      <c r="Y28" s="18"/>
    </row>
    <row r="29" spans="1:25" x14ac:dyDescent="0.2">
      <c r="A29" s="18" t="s">
        <v>66</v>
      </c>
      <c r="B29" s="19">
        <v>5203</v>
      </c>
      <c r="C29" s="18">
        <v>480</v>
      </c>
      <c r="D29" s="18">
        <v>0</v>
      </c>
      <c r="E29" s="18">
        <v>0</v>
      </c>
      <c r="F29" s="18">
        <f t="shared" si="0"/>
        <v>480</v>
      </c>
      <c r="G29" s="18">
        <v>0</v>
      </c>
      <c r="H29" s="18">
        <v>0</v>
      </c>
      <c r="I29" s="18">
        <v>0</v>
      </c>
      <c r="J29" s="18">
        <f t="shared" si="1"/>
        <v>480</v>
      </c>
      <c r="K29" s="18">
        <f t="shared" si="1"/>
        <v>0</v>
      </c>
      <c r="L29" s="18">
        <f t="shared" si="1"/>
        <v>0</v>
      </c>
      <c r="M29" s="18">
        <f t="shared" si="2"/>
        <v>480</v>
      </c>
      <c r="N29" s="30">
        <f t="shared" si="3"/>
        <v>-35046.438284416705</v>
      </c>
      <c r="W29" s="18"/>
      <c r="X29" s="18"/>
      <c r="Y29" s="18"/>
    </row>
    <row r="30" spans="1:25" x14ac:dyDescent="0.2">
      <c r="A30" s="18" t="s">
        <v>67</v>
      </c>
      <c r="B30" s="19">
        <v>2451</v>
      </c>
      <c r="C30" s="18">
        <v>473</v>
      </c>
      <c r="D30" s="18">
        <v>0</v>
      </c>
      <c r="E30" s="18">
        <v>0</v>
      </c>
      <c r="F30" s="18">
        <f t="shared" si="0"/>
        <v>473</v>
      </c>
      <c r="G30" s="18">
        <v>0</v>
      </c>
      <c r="H30" s="18">
        <v>0</v>
      </c>
      <c r="I30" s="18">
        <v>0</v>
      </c>
      <c r="J30" s="18">
        <f t="shared" si="1"/>
        <v>473</v>
      </c>
      <c r="K30" s="18">
        <f t="shared" si="1"/>
        <v>0</v>
      </c>
      <c r="L30" s="18">
        <f t="shared" si="1"/>
        <v>0</v>
      </c>
      <c r="M30" s="18">
        <f t="shared" si="2"/>
        <v>473</v>
      </c>
      <c r="N30" s="30">
        <f t="shared" si="3"/>
        <v>-34535.344392768966</v>
      </c>
      <c r="W30" s="18"/>
      <c r="X30" s="18"/>
      <c r="Y30" s="18"/>
    </row>
    <row r="31" spans="1:25" x14ac:dyDescent="0.2">
      <c r="A31" s="18" t="s">
        <v>68</v>
      </c>
      <c r="B31" s="19">
        <v>2409</v>
      </c>
      <c r="C31" s="18">
        <v>551</v>
      </c>
      <c r="D31" s="18">
        <v>0</v>
      </c>
      <c r="E31" s="18">
        <v>0</v>
      </c>
      <c r="F31" s="18">
        <f t="shared" si="0"/>
        <v>551</v>
      </c>
      <c r="G31" s="18">
        <v>0</v>
      </c>
      <c r="H31" s="18">
        <v>0</v>
      </c>
      <c r="I31" s="18">
        <v>0</v>
      </c>
      <c r="J31" s="18">
        <f t="shared" si="1"/>
        <v>551</v>
      </c>
      <c r="K31" s="18">
        <f t="shared" si="1"/>
        <v>0</v>
      </c>
      <c r="L31" s="18">
        <f t="shared" si="1"/>
        <v>0</v>
      </c>
      <c r="M31" s="18">
        <f t="shared" si="2"/>
        <v>551</v>
      </c>
      <c r="N31" s="30">
        <f t="shared" si="3"/>
        <v>-40230.390613986674</v>
      </c>
      <c r="W31" s="18"/>
      <c r="X31" s="18"/>
      <c r="Y31" s="18"/>
    </row>
    <row r="32" spans="1:25" x14ac:dyDescent="0.2">
      <c r="A32" s="18" t="s">
        <v>159</v>
      </c>
      <c r="B32" s="19">
        <v>3158</v>
      </c>
      <c r="C32" s="18">
        <v>117</v>
      </c>
      <c r="D32" s="18">
        <v>0</v>
      </c>
      <c r="E32" s="18">
        <v>0</v>
      </c>
      <c r="F32" s="18">
        <f t="shared" si="0"/>
        <v>117</v>
      </c>
      <c r="G32" s="18">
        <v>0</v>
      </c>
      <c r="H32" s="18">
        <v>0</v>
      </c>
      <c r="I32" s="18">
        <v>0</v>
      </c>
      <c r="J32" s="18">
        <f t="shared" si="1"/>
        <v>117</v>
      </c>
      <c r="K32" s="18">
        <f t="shared" si="1"/>
        <v>0</v>
      </c>
      <c r="L32" s="18">
        <f t="shared" si="1"/>
        <v>0</v>
      </c>
      <c r="M32" s="18">
        <f t="shared" si="2"/>
        <v>117</v>
      </c>
      <c r="N32" s="30">
        <f t="shared" si="3"/>
        <v>-8542.569331826573</v>
      </c>
      <c r="W32" s="18"/>
      <c r="X32" s="18"/>
      <c r="Y32" s="18"/>
    </row>
    <row r="33" spans="1:25" x14ac:dyDescent="0.2">
      <c r="A33" s="18" t="s">
        <v>69</v>
      </c>
      <c r="B33" s="19">
        <v>2619</v>
      </c>
      <c r="C33" s="18">
        <v>199</v>
      </c>
      <c r="D33" s="18">
        <v>0</v>
      </c>
      <c r="E33" s="18">
        <v>0</v>
      </c>
      <c r="F33" s="18">
        <f t="shared" si="0"/>
        <v>199</v>
      </c>
      <c r="G33" s="18">
        <v>0</v>
      </c>
      <c r="H33" s="18">
        <v>0</v>
      </c>
      <c r="I33" s="18">
        <v>0</v>
      </c>
      <c r="J33" s="18">
        <f t="shared" si="1"/>
        <v>199</v>
      </c>
      <c r="K33" s="18">
        <f t="shared" si="1"/>
        <v>0</v>
      </c>
      <c r="L33" s="18">
        <f t="shared" si="1"/>
        <v>0</v>
      </c>
      <c r="M33" s="18">
        <f t="shared" si="2"/>
        <v>199</v>
      </c>
      <c r="N33" s="30">
        <f t="shared" si="3"/>
        <v>-14529.669205414426</v>
      </c>
      <c r="W33" s="18"/>
      <c r="X33" s="18"/>
      <c r="Y33" s="18"/>
    </row>
    <row r="34" spans="1:25" x14ac:dyDescent="0.2">
      <c r="A34" s="18" t="s">
        <v>70</v>
      </c>
      <c r="B34" s="19">
        <v>2518</v>
      </c>
      <c r="C34" s="18">
        <v>297</v>
      </c>
      <c r="D34" s="18">
        <v>0</v>
      </c>
      <c r="E34" s="18">
        <v>0</v>
      </c>
      <c r="F34" s="18">
        <f t="shared" si="0"/>
        <v>297</v>
      </c>
      <c r="G34" s="18">
        <v>0</v>
      </c>
      <c r="H34" s="18">
        <v>0</v>
      </c>
      <c r="I34" s="18">
        <v>0</v>
      </c>
      <c r="J34" s="18">
        <f t="shared" si="1"/>
        <v>297</v>
      </c>
      <c r="K34" s="18">
        <f t="shared" si="1"/>
        <v>0</v>
      </c>
      <c r="L34" s="18">
        <f t="shared" si="1"/>
        <v>0</v>
      </c>
      <c r="M34" s="18">
        <f t="shared" si="2"/>
        <v>297</v>
      </c>
      <c r="N34" s="30">
        <f t="shared" si="3"/>
        <v>-21684.983688482836</v>
      </c>
      <c r="W34" s="18"/>
      <c r="X34" s="18"/>
      <c r="Y34" s="18"/>
    </row>
    <row r="35" spans="1:25" x14ac:dyDescent="0.2">
      <c r="A35" s="18" t="s">
        <v>71</v>
      </c>
      <c r="B35" s="19">
        <v>2457</v>
      </c>
      <c r="C35" s="18">
        <v>358</v>
      </c>
      <c r="D35" s="18">
        <v>0</v>
      </c>
      <c r="E35" s="18">
        <v>0</v>
      </c>
      <c r="F35" s="18">
        <f t="shared" si="0"/>
        <v>358</v>
      </c>
      <c r="G35" s="18">
        <v>0</v>
      </c>
      <c r="H35" s="18">
        <v>0</v>
      </c>
      <c r="I35" s="18">
        <v>0</v>
      </c>
      <c r="J35" s="18">
        <f t="shared" si="1"/>
        <v>358</v>
      </c>
      <c r="K35" s="18">
        <f t="shared" si="1"/>
        <v>0</v>
      </c>
      <c r="L35" s="18">
        <f t="shared" si="1"/>
        <v>0</v>
      </c>
      <c r="M35" s="18">
        <f t="shared" si="2"/>
        <v>358</v>
      </c>
      <c r="N35" s="30">
        <f t="shared" si="3"/>
        <v>-26138.801887127462</v>
      </c>
      <c r="W35" s="18"/>
      <c r="X35" s="18"/>
      <c r="Y35" s="18"/>
    </row>
    <row r="36" spans="1:25" s="241" customFormat="1" x14ac:dyDescent="0.2">
      <c r="A36" s="246" t="s">
        <v>160</v>
      </c>
      <c r="B36" s="220">
        <v>2010</v>
      </c>
      <c r="C36" s="246">
        <v>193</v>
      </c>
      <c r="D36" s="246">
        <v>0</v>
      </c>
      <c r="E36" s="246">
        <v>0</v>
      </c>
      <c r="F36" s="246">
        <f t="shared" si="0"/>
        <v>193</v>
      </c>
      <c r="G36" s="246">
        <v>0</v>
      </c>
      <c r="H36" s="246">
        <v>0</v>
      </c>
      <c r="I36" s="246">
        <v>0</v>
      </c>
      <c r="J36" s="246">
        <v>0</v>
      </c>
      <c r="K36" s="246">
        <f t="shared" si="1"/>
        <v>0</v>
      </c>
      <c r="L36" s="246">
        <f t="shared" si="1"/>
        <v>0</v>
      </c>
      <c r="M36" s="246">
        <f t="shared" si="2"/>
        <v>0</v>
      </c>
      <c r="N36" s="242">
        <f t="shared" si="3"/>
        <v>0</v>
      </c>
      <c r="W36" s="246"/>
      <c r="X36" s="246"/>
      <c r="Y36" s="246"/>
    </row>
    <row r="37" spans="1:25" x14ac:dyDescent="0.2">
      <c r="A37" s="18" t="s">
        <v>73</v>
      </c>
      <c r="B37" s="19">
        <v>2002</v>
      </c>
      <c r="C37" s="18">
        <v>426</v>
      </c>
      <c r="D37" s="18">
        <v>0</v>
      </c>
      <c r="E37" s="18">
        <v>0</v>
      </c>
      <c r="F37" s="18">
        <f t="shared" si="0"/>
        <v>426</v>
      </c>
      <c r="G37" s="18">
        <v>0</v>
      </c>
      <c r="H37" s="18">
        <v>0</v>
      </c>
      <c r="I37" s="18">
        <v>0</v>
      </c>
      <c r="J37" s="18">
        <f t="shared" si="1"/>
        <v>426</v>
      </c>
      <c r="K37" s="18">
        <f t="shared" si="1"/>
        <v>0</v>
      </c>
      <c r="L37" s="18">
        <f t="shared" si="1"/>
        <v>0</v>
      </c>
      <c r="M37" s="18">
        <f t="shared" si="2"/>
        <v>426</v>
      </c>
      <c r="N37" s="30">
        <f t="shared" si="3"/>
        <v>-31103.713977419826</v>
      </c>
      <c r="W37" s="18"/>
      <c r="X37" s="18"/>
      <c r="Y37" s="18"/>
    </row>
    <row r="38" spans="1:25" x14ac:dyDescent="0.2">
      <c r="A38" s="18" t="s">
        <v>74</v>
      </c>
      <c r="B38" s="19">
        <v>3544</v>
      </c>
      <c r="C38" s="18">
        <v>537</v>
      </c>
      <c r="D38" s="18">
        <v>0</v>
      </c>
      <c r="E38" s="18">
        <v>0</v>
      </c>
      <c r="F38" s="18">
        <f t="shared" si="0"/>
        <v>537</v>
      </c>
      <c r="G38" s="18">
        <v>0</v>
      </c>
      <c r="H38" s="18">
        <v>0</v>
      </c>
      <c r="I38" s="18">
        <v>0</v>
      </c>
      <c r="J38" s="18">
        <f t="shared" si="1"/>
        <v>537</v>
      </c>
      <c r="K38" s="18">
        <f t="shared" si="1"/>
        <v>0</v>
      </c>
      <c r="L38" s="18">
        <f t="shared" si="1"/>
        <v>0</v>
      </c>
      <c r="M38" s="18">
        <f t="shared" si="2"/>
        <v>537</v>
      </c>
      <c r="N38" s="30">
        <f t="shared" si="3"/>
        <v>-39208.202830691189</v>
      </c>
      <c r="W38" s="18"/>
      <c r="X38" s="18"/>
      <c r="Y38" s="18"/>
    </row>
    <row r="39" spans="1:25" x14ac:dyDescent="0.2">
      <c r="A39" s="18" t="s">
        <v>161</v>
      </c>
      <c r="B39" s="19">
        <v>2006</v>
      </c>
      <c r="C39" s="18">
        <v>246</v>
      </c>
      <c r="D39" s="18">
        <v>0</v>
      </c>
      <c r="E39" s="18">
        <v>0</v>
      </c>
      <c r="F39" s="18">
        <f t="shared" si="0"/>
        <v>246</v>
      </c>
      <c r="G39" s="18">
        <v>0</v>
      </c>
      <c r="H39" s="18">
        <v>0</v>
      </c>
      <c r="I39" s="18">
        <v>0</v>
      </c>
      <c r="J39" s="18">
        <f t="shared" si="1"/>
        <v>246</v>
      </c>
      <c r="K39" s="18">
        <f t="shared" si="1"/>
        <v>0</v>
      </c>
      <c r="L39" s="18">
        <f t="shared" si="1"/>
        <v>0</v>
      </c>
      <c r="M39" s="18">
        <f t="shared" si="2"/>
        <v>246</v>
      </c>
      <c r="N39" s="30">
        <f t="shared" si="3"/>
        <v>-17961.299620763562</v>
      </c>
      <c r="W39" s="18"/>
      <c r="X39" s="18"/>
      <c r="Y39" s="18"/>
    </row>
    <row r="40" spans="1:25" x14ac:dyDescent="0.2">
      <c r="A40" s="18" t="s">
        <v>76</v>
      </c>
      <c r="B40" s="19">
        <v>2434</v>
      </c>
      <c r="C40" s="18">
        <v>443</v>
      </c>
      <c r="D40" s="18">
        <v>0</v>
      </c>
      <c r="E40" s="18">
        <v>0</v>
      </c>
      <c r="F40" s="18">
        <f t="shared" si="0"/>
        <v>443</v>
      </c>
      <c r="G40" s="18">
        <v>12</v>
      </c>
      <c r="H40" s="18">
        <v>0</v>
      </c>
      <c r="I40" s="18">
        <v>0</v>
      </c>
      <c r="J40" s="18">
        <f t="shared" si="1"/>
        <v>431</v>
      </c>
      <c r="K40" s="18">
        <f t="shared" si="1"/>
        <v>0</v>
      </c>
      <c r="L40" s="18">
        <f t="shared" si="1"/>
        <v>0</v>
      </c>
      <c r="M40" s="18">
        <f t="shared" si="2"/>
        <v>431</v>
      </c>
      <c r="N40" s="30">
        <f t="shared" si="3"/>
        <v>-31468.7810428825</v>
      </c>
      <c r="W40" s="18"/>
      <c r="X40" s="18"/>
      <c r="Y40" s="18"/>
    </row>
    <row r="41" spans="1:25" x14ac:dyDescent="0.2">
      <c r="A41" s="18" t="s">
        <v>77</v>
      </c>
      <c r="B41" s="19">
        <v>2522</v>
      </c>
      <c r="C41" s="18">
        <v>412</v>
      </c>
      <c r="D41" s="18">
        <v>0</v>
      </c>
      <c r="E41" s="18">
        <v>0</v>
      </c>
      <c r="F41" s="18">
        <f t="shared" si="0"/>
        <v>412</v>
      </c>
      <c r="G41" s="18">
        <v>0</v>
      </c>
      <c r="H41" s="18">
        <v>0</v>
      </c>
      <c r="I41" s="18">
        <v>0</v>
      </c>
      <c r="J41" s="18">
        <f t="shared" si="1"/>
        <v>412</v>
      </c>
      <c r="K41" s="18">
        <f t="shared" si="1"/>
        <v>0</v>
      </c>
      <c r="L41" s="18">
        <f t="shared" si="1"/>
        <v>0</v>
      </c>
      <c r="M41" s="18">
        <f t="shared" si="2"/>
        <v>412</v>
      </c>
      <c r="N41" s="30">
        <f t="shared" si="3"/>
        <v>-30081.526194124341</v>
      </c>
      <c r="W41" s="18"/>
      <c r="X41" s="18"/>
      <c r="Y41" s="18"/>
    </row>
    <row r="42" spans="1:25" x14ac:dyDescent="0.2">
      <c r="A42" s="18" t="s">
        <v>78</v>
      </c>
      <c r="B42" s="19">
        <v>2436</v>
      </c>
      <c r="C42" s="18">
        <v>324</v>
      </c>
      <c r="D42" s="18">
        <v>0</v>
      </c>
      <c r="E42" s="18">
        <v>0</v>
      </c>
      <c r="F42" s="18">
        <f t="shared" si="0"/>
        <v>324</v>
      </c>
      <c r="G42" s="18">
        <v>3</v>
      </c>
      <c r="H42" s="18">
        <v>0</v>
      </c>
      <c r="I42" s="18">
        <v>0</v>
      </c>
      <c r="J42" s="18">
        <f t="shared" si="1"/>
        <v>321</v>
      </c>
      <c r="K42" s="18">
        <f t="shared" si="1"/>
        <v>0</v>
      </c>
      <c r="L42" s="18">
        <f t="shared" si="1"/>
        <v>0</v>
      </c>
      <c r="M42" s="18">
        <f t="shared" si="2"/>
        <v>321</v>
      </c>
      <c r="N42" s="30">
        <f t="shared" si="3"/>
        <v>-23437.305602703673</v>
      </c>
      <c r="W42" s="18"/>
      <c r="X42" s="18"/>
      <c r="Y42" s="18"/>
    </row>
    <row r="43" spans="1:25" x14ac:dyDescent="0.2">
      <c r="A43" s="18" t="s">
        <v>79</v>
      </c>
      <c r="B43" s="19">
        <v>2452</v>
      </c>
      <c r="C43" s="18">
        <v>207</v>
      </c>
      <c r="D43" s="18">
        <v>0</v>
      </c>
      <c r="E43" s="18">
        <v>0</v>
      </c>
      <c r="F43" s="18">
        <f t="shared" si="0"/>
        <v>207</v>
      </c>
      <c r="G43" s="18">
        <v>0</v>
      </c>
      <c r="H43" s="18">
        <v>0</v>
      </c>
      <c r="I43" s="18">
        <v>0</v>
      </c>
      <c r="J43" s="18">
        <f t="shared" si="1"/>
        <v>207</v>
      </c>
      <c r="K43" s="18">
        <f t="shared" si="1"/>
        <v>0</v>
      </c>
      <c r="L43" s="18">
        <f t="shared" si="1"/>
        <v>0</v>
      </c>
      <c r="M43" s="18">
        <f t="shared" si="2"/>
        <v>207</v>
      </c>
      <c r="N43" s="30">
        <f>SUM(J43*$J$1)+SUM(K43*$K$3)+SUM(L43*$L$4)</f>
        <v>-15113.776510154705</v>
      </c>
      <c r="W43" s="18"/>
      <c r="X43" s="18"/>
      <c r="Y43" s="18"/>
    </row>
    <row r="44" spans="1:25" x14ac:dyDescent="0.2">
      <c r="A44" s="18" t="s">
        <v>80</v>
      </c>
      <c r="B44" s="19">
        <v>2627</v>
      </c>
      <c r="C44" s="18">
        <v>388</v>
      </c>
      <c r="D44" s="18">
        <v>0</v>
      </c>
      <c r="E44" s="18">
        <v>0</v>
      </c>
      <c r="F44" s="18">
        <f t="shared" si="0"/>
        <v>388</v>
      </c>
      <c r="G44" s="18">
        <v>0</v>
      </c>
      <c r="H44" s="18">
        <v>0</v>
      </c>
      <c r="I44" s="18">
        <v>0</v>
      </c>
      <c r="J44" s="18">
        <f t="shared" si="1"/>
        <v>388</v>
      </c>
      <c r="K44" s="18">
        <f t="shared" si="1"/>
        <v>0</v>
      </c>
      <c r="L44" s="18">
        <f t="shared" si="1"/>
        <v>0</v>
      </c>
      <c r="M44" s="18">
        <f t="shared" si="2"/>
        <v>388</v>
      </c>
      <c r="N44" s="30">
        <f t="shared" si="3"/>
        <v>-28329.204279903504</v>
      </c>
      <c r="W44" s="18"/>
      <c r="X44" s="18"/>
      <c r="Y44" s="18"/>
    </row>
    <row r="45" spans="1:25" s="241" customFormat="1" x14ac:dyDescent="0.2">
      <c r="A45" s="246" t="s">
        <v>81</v>
      </c>
      <c r="B45" s="220">
        <v>2009</v>
      </c>
      <c r="C45" s="246">
        <v>276</v>
      </c>
      <c r="D45" s="246">
        <v>0</v>
      </c>
      <c r="E45" s="246">
        <v>0</v>
      </c>
      <c r="F45" s="246">
        <f t="shared" si="0"/>
        <v>276</v>
      </c>
      <c r="G45" s="246">
        <v>0</v>
      </c>
      <c r="H45" s="246">
        <v>0</v>
      </c>
      <c r="I45" s="246">
        <v>0</v>
      </c>
      <c r="J45" s="246">
        <v>0</v>
      </c>
      <c r="K45" s="246">
        <f t="shared" si="1"/>
        <v>0</v>
      </c>
      <c r="L45" s="246">
        <f t="shared" si="1"/>
        <v>0</v>
      </c>
      <c r="M45" s="246">
        <f t="shared" si="2"/>
        <v>0</v>
      </c>
      <c r="N45" s="242">
        <f t="shared" si="3"/>
        <v>0</v>
      </c>
      <c r="W45" s="246"/>
      <c r="X45" s="246"/>
      <c r="Y45" s="246"/>
    </row>
    <row r="46" spans="1:25" x14ac:dyDescent="0.2">
      <c r="A46" s="18" t="s">
        <v>162</v>
      </c>
      <c r="B46" s="19">
        <v>2473</v>
      </c>
      <c r="C46" s="18">
        <v>267</v>
      </c>
      <c r="D46" s="18">
        <v>0</v>
      </c>
      <c r="E46" s="18">
        <v>0</v>
      </c>
      <c r="F46" s="18">
        <f t="shared" si="0"/>
        <v>267</v>
      </c>
      <c r="G46" s="18">
        <v>0</v>
      </c>
      <c r="H46" s="18">
        <v>0</v>
      </c>
      <c r="I46" s="18">
        <v>0</v>
      </c>
      <c r="J46" s="18">
        <f t="shared" si="1"/>
        <v>267</v>
      </c>
      <c r="K46" s="18">
        <f t="shared" si="1"/>
        <v>0</v>
      </c>
      <c r="L46" s="18">
        <f t="shared" si="1"/>
        <v>0</v>
      </c>
      <c r="M46" s="18">
        <f t="shared" si="2"/>
        <v>267</v>
      </c>
      <c r="N46" s="30">
        <f>SUM(J46*$J$1)+SUM(K46*$K$3)+SUM(L46*$L$4)</f>
        <v>-19494.581295706794</v>
      </c>
      <c r="W46" s="18"/>
      <c r="X46" s="18"/>
      <c r="Y46" s="18"/>
    </row>
    <row r="47" spans="1:25" x14ac:dyDescent="0.2">
      <c r="A47" s="18" t="s">
        <v>84</v>
      </c>
      <c r="B47" s="19">
        <v>2471</v>
      </c>
      <c r="C47" s="18">
        <v>346</v>
      </c>
      <c r="D47" s="18">
        <v>0</v>
      </c>
      <c r="E47" s="18">
        <v>0</v>
      </c>
      <c r="F47" s="18">
        <f t="shared" si="0"/>
        <v>346</v>
      </c>
      <c r="G47" s="18">
        <v>0</v>
      </c>
      <c r="H47" s="18">
        <v>0</v>
      </c>
      <c r="I47" s="18">
        <v>0</v>
      </c>
      <c r="J47" s="18">
        <f t="shared" si="1"/>
        <v>346</v>
      </c>
      <c r="K47" s="18">
        <f t="shared" si="1"/>
        <v>0</v>
      </c>
      <c r="L47" s="18">
        <f t="shared" si="1"/>
        <v>0</v>
      </c>
      <c r="M47" s="18">
        <f t="shared" si="2"/>
        <v>346</v>
      </c>
      <c r="N47" s="30">
        <f t="shared" si="3"/>
        <v>-25262.640930017042</v>
      </c>
      <c r="W47" s="18"/>
      <c r="X47" s="18"/>
      <c r="Y47" s="18"/>
    </row>
    <row r="48" spans="1:25" x14ac:dyDescent="0.2">
      <c r="A48" s="18" t="s">
        <v>82</v>
      </c>
      <c r="B48" s="19">
        <v>2420</v>
      </c>
      <c r="C48" s="18">
        <v>465</v>
      </c>
      <c r="D48" s="18">
        <v>0</v>
      </c>
      <c r="E48" s="18">
        <v>0</v>
      </c>
      <c r="F48" s="18">
        <f t="shared" si="0"/>
        <v>465</v>
      </c>
      <c r="G48" s="18">
        <v>0</v>
      </c>
      <c r="H48" s="18">
        <v>0</v>
      </c>
      <c r="I48" s="18">
        <v>0</v>
      </c>
      <c r="J48" s="18">
        <f t="shared" si="1"/>
        <v>465</v>
      </c>
      <c r="K48" s="18">
        <f t="shared" si="1"/>
        <v>0</v>
      </c>
      <c r="L48" s="18">
        <f t="shared" si="1"/>
        <v>0</v>
      </c>
      <c r="M48" s="18">
        <f t="shared" si="2"/>
        <v>465</v>
      </c>
      <c r="N48" s="30">
        <f t="shared" si="3"/>
        <v>-33951.237088028684</v>
      </c>
      <c r="W48" s="18"/>
      <c r="X48" s="18"/>
      <c r="Y48" s="18"/>
    </row>
    <row r="49" spans="1:25" x14ac:dyDescent="0.2">
      <c r="A49" s="18" t="s">
        <v>85</v>
      </c>
      <c r="B49" s="19">
        <v>2003</v>
      </c>
      <c r="C49" s="18">
        <v>208</v>
      </c>
      <c r="D49" s="18">
        <v>0</v>
      </c>
      <c r="E49" s="18">
        <v>0</v>
      </c>
      <c r="F49" s="18">
        <f t="shared" si="0"/>
        <v>208</v>
      </c>
      <c r="G49" s="18">
        <v>0</v>
      </c>
      <c r="H49" s="18">
        <v>0</v>
      </c>
      <c r="I49" s="18">
        <v>0</v>
      </c>
      <c r="J49" s="18">
        <f t="shared" si="1"/>
        <v>208</v>
      </c>
      <c r="K49" s="18">
        <f t="shared" si="1"/>
        <v>0</v>
      </c>
      <c r="L49" s="18">
        <f t="shared" si="1"/>
        <v>0</v>
      </c>
      <c r="M49" s="18">
        <f t="shared" si="2"/>
        <v>208</v>
      </c>
      <c r="N49" s="30">
        <f t="shared" si="3"/>
        <v>-15186.789923247239</v>
      </c>
      <c r="W49" s="18"/>
      <c r="X49" s="18"/>
      <c r="Y49" s="18"/>
    </row>
    <row r="50" spans="1:25" x14ac:dyDescent="0.2">
      <c r="A50" s="18" t="s">
        <v>86</v>
      </c>
      <c r="B50" s="19">
        <v>2423</v>
      </c>
      <c r="C50" s="18">
        <v>358</v>
      </c>
      <c r="D50" s="18">
        <v>0</v>
      </c>
      <c r="E50" s="18">
        <v>0</v>
      </c>
      <c r="F50" s="18">
        <f t="shared" si="0"/>
        <v>358</v>
      </c>
      <c r="G50" s="18">
        <v>0</v>
      </c>
      <c r="H50" s="18">
        <v>0</v>
      </c>
      <c r="I50" s="18">
        <v>0</v>
      </c>
      <c r="J50" s="18">
        <f t="shared" si="1"/>
        <v>358</v>
      </c>
      <c r="K50" s="18">
        <f t="shared" si="1"/>
        <v>0</v>
      </c>
      <c r="L50" s="18">
        <f t="shared" si="1"/>
        <v>0</v>
      </c>
      <c r="M50" s="18">
        <f t="shared" si="2"/>
        <v>358</v>
      </c>
      <c r="N50" s="30">
        <f t="shared" si="3"/>
        <v>-26138.801887127462</v>
      </c>
      <c r="W50" s="18"/>
      <c r="X50" s="18"/>
      <c r="Y50" s="18"/>
    </row>
    <row r="51" spans="1:25" x14ac:dyDescent="0.2">
      <c r="A51" s="18" t="s">
        <v>87</v>
      </c>
      <c r="B51" s="19">
        <v>2424</v>
      </c>
      <c r="C51" s="18">
        <v>267</v>
      </c>
      <c r="D51" s="18">
        <v>0</v>
      </c>
      <c r="E51" s="18">
        <v>0</v>
      </c>
      <c r="F51" s="18">
        <f t="shared" si="0"/>
        <v>267</v>
      </c>
      <c r="G51" s="18">
        <v>0</v>
      </c>
      <c r="H51" s="18">
        <v>0</v>
      </c>
      <c r="I51" s="18">
        <v>0</v>
      </c>
      <c r="J51" s="18">
        <f t="shared" si="1"/>
        <v>267</v>
      </c>
      <c r="K51" s="18">
        <f t="shared" si="1"/>
        <v>0</v>
      </c>
      <c r="L51" s="18">
        <f t="shared" si="1"/>
        <v>0</v>
      </c>
      <c r="M51" s="18">
        <f t="shared" si="2"/>
        <v>267</v>
      </c>
      <c r="N51" s="30">
        <f t="shared" si="3"/>
        <v>-19494.581295706794</v>
      </c>
      <c r="W51" s="18"/>
      <c r="X51" s="18"/>
      <c r="Y51" s="18"/>
    </row>
    <row r="52" spans="1:25" x14ac:dyDescent="0.2">
      <c r="A52" s="18" t="s">
        <v>88</v>
      </c>
      <c r="B52" s="19">
        <v>2439</v>
      </c>
      <c r="C52" s="18">
        <v>239</v>
      </c>
      <c r="D52" s="18">
        <v>0</v>
      </c>
      <c r="E52" s="18">
        <v>0</v>
      </c>
      <c r="F52" s="18">
        <f t="shared" si="0"/>
        <v>239</v>
      </c>
      <c r="G52" s="18">
        <v>0</v>
      </c>
      <c r="H52" s="18">
        <v>0</v>
      </c>
      <c r="I52" s="18">
        <v>0</v>
      </c>
      <c r="J52" s="18">
        <f t="shared" si="1"/>
        <v>239</v>
      </c>
      <c r="K52" s="18">
        <f t="shared" si="1"/>
        <v>0</v>
      </c>
      <c r="L52" s="18">
        <f t="shared" si="1"/>
        <v>0</v>
      </c>
      <c r="M52" s="18">
        <f t="shared" si="2"/>
        <v>239</v>
      </c>
      <c r="N52" s="30">
        <f t="shared" si="3"/>
        <v>-17450.20572911582</v>
      </c>
      <c r="W52" s="18"/>
      <c r="X52" s="18"/>
      <c r="Y52" s="18"/>
    </row>
    <row r="53" spans="1:25" x14ac:dyDescent="0.2">
      <c r="A53" s="18" t="s">
        <v>89</v>
      </c>
      <c r="B53" s="19">
        <v>2440</v>
      </c>
      <c r="C53" s="18">
        <v>291</v>
      </c>
      <c r="D53" s="18">
        <v>0</v>
      </c>
      <c r="E53" s="18">
        <v>0</v>
      </c>
      <c r="F53" s="18">
        <f t="shared" si="0"/>
        <v>291</v>
      </c>
      <c r="G53" s="18">
        <v>0</v>
      </c>
      <c r="H53" s="18">
        <v>0</v>
      </c>
      <c r="I53" s="18">
        <v>0</v>
      </c>
      <c r="J53" s="18">
        <f t="shared" si="1"/>
        <v>291</v>
      </c>
      <c r="K53" s="18">
        <f t="shared" si="1"/>
        <v>0</v>
      </c>
      <c r="L53" s="18">
        <f t="shared" si="1"/>
        <v>0</v>
      </c>
      <c r="M53" s="18">
        <f t="shared" si="2"/>
        <v>291</v>
      </c>
      <c r="N53" s="30">
        <f t="shared" si="3"/>
        <v>-21246.903209927626</v>
      </c>
      <c r="W53" s="18"/>
      <c r="X53" s="18"/>
      <c r="Y53" s="18"/>
    </row>
    <row r="54" spans="1:25" x14ac:dyDescent="0.2">
      <c r="A54" s="18" t="s">
        <v>163</v>
      </c>
      <c r="B54" s="19">
        <v>2462</v>
      </c>
      <c r="C54" s="18">
        <v>220</v>
      </c>
      <c r="D54" s="18">
        <v>0</v>
      </c>
      <c r="E54" s="18">
        <v>0</v>
      </c>
      <c r="F54" s="18">
        <f t="shared" si="0"/>
        <v>220</v>
      </c>
      <c r="G54" s="18">
        <v>0</v>
      </c>
      <c r="H54" s="18">
        <v>0</v>
      </c>
      <c r="I54" s="18">
        <v>0</v>
      </c>
      <c r="J54" s="18">
        <f t="shared" si="1"/>
        <v>220</v>
      </c>
      <c r="K54" s="18">
        <f t="shared" si="1"/>
        <v>0</v>
      </c>
      <c r="L54" s="18">
        <f t="shared" si="1"/>
        <v>0</v>
      </c>
      <c r="M54" s="18">
        <f t="shared" si="2"/>
        <v>220</v>
      </c>
      <c r="N54" s="30">
        <f t="shared" si="3"/>
        <v>-16062.950880357657</v>
      </c>
      <c r="W54" s="18"/>
      <c r="X54" s="18"/>
      <c r="Y54" s="18"/>
    </row>
    <row r="55" spans="1:25" x14ac:dyDescent="0.2">
      <c r="A55" s="18" t="s">
        <v>91</v>
      </c>
      <c r="B55" s="19">
        <v>2463</v>
      </c>
      <c r="C55" s="18">
        <v>312</v>
      </c>
      <c r="D55" s="18">
        <v>0</v>
      </c>
      <c r="E55" s="18">
        <v>0</v>
      </c>
      <c r="F55" s="18">
        <f t="shared" si="0"/>
        <v>312</v>
      </c>
      <c r="G55" s="18">
        <v>0</v>
      </c>
      <c r="H55" s="18">
        <v>0</v>
      </c>
      <c r="I55" s="18">
        <v>0</v>
      </c>
      <c r="J55" s="18">
        <f t="shared" si="1"/>
        <v>312</v>
      </c>
      <c r="K55" s="18">
        <f t="shared" si="1"/>
        <v>0</v>
      </c>
      <c r="L55" s="18">
        <f t="shared" si="1"/>
        <v>0</v>
      </c>
      <c r="M55" s="18">
        <f t="shared" si="2"/>
        <v>312</v>
      </c>
      <c r="N55" s="30">
        <f t="shared" si="3"/>
        <v>-22780.184884870858</v>
      </c>
      <c r="W55" s="18"/>
      <c r="X55" s="18"/>
      <c r="Y55" s="18"/>
    </row>
    <row r="56" spans="1:25" x14ac:dyDescent="0.2">
      <c r="A56" s="18" t="s">
        <v>92</v>
      </c>
      <c r="B56" s="19">
        <v>2505</v>
      </c>
      <c r="C56" s="18">
        <v>453</v>
      </c>
      <c r="D56" s="18">
        <v>0</v>
      </c>
      <c r="E56" s="18">
        <v>0</v>
      </c>
      <c r="F56" s="18">
        <f t="shared" si="0"/>
        <v>453</v>
      </c>
      <c r="G56" s="18">
        <v>0</v>
      </c>
      <c r="H56" s="18">
        <v>0</v>
      </c>
      <c r="I56" s="18">
        <v>0</v>
      </c>
      <c r="J56" s="18">
        <f t="shared" si="1"/>
        <v>453</v>
      </c>
      <c r="K56" s="18">
        <f t="shared" si="1"/>
        <v>0</v>
      </c>
      <c r="L56" s="18">
        <f t="shared" si="1"/>
        <v>0</v>
      </c>
      <c r="M56" s="18">
        <f t="shared" si="2"/>
        <v>453</v>
      </c>
      <c r="N56" s="30">
        <f t="shared" si="3"/>
        <v>-33075.076130918264</v>
      </c>
      <c r="W56" s="18"/>
      <c r="X56" s="18"/>
      <c r="Y56" s="18"/>
    </row>
    <row r="57" spans="1:25" x14ac:dyDescent="0.2">
      <c r="A57" s="18" t="s">
        <v>93</v>
      </c>
      <c r="B57" s="19">
        <v>2000</v>
      </c>
      <c r="C57" s="18">
        <v>306</v>
      </c>
      <c r="D57" s="18">
        <v>0</v>
      </c>
      <c r="E57" s="18">
        <v>0</v>
      </c>
      <c r="F57" s="18">
        <f t="shared" si="0"/>
        <v>306</v>
      </c>
      <c r="G57" s="18">
        <v>26</v>
      </c>
      <c r="H57" s="18">
        <v>0</v>
      </c>
      <c r="I57" s="18">
        <v>0</v>
      </c>
      <c r="J57" s="18">
        <f t="shared" si="1"/>
        <v>280</v>
      </c>
      <c r="K57" s="18">
        <f t="shared" si="1"/>
        <v>0</v>
      </c>
      <c r="L57" s="18">
        <f t="shared" si="1"/>
        <v>0</v>
      </c>
      <c r="M57" s="18">
        <f t="shared" si="2"/>
        <v>280</v>
      </c>
      <c r="N57" s="30">
        <f t="shared" si="3"/>
        <v>-20443.755665909746</v>
      </c>
      <c r="W57" s="18"/>
      <c r="X57" s="18"/>
      <c r="Y57" s="18"/>
    </row>
    <row r="58" spans="1:25" x14ac:dyDescent="0.2">
      <c r="A58" s="18" t="s">
        <v>94</v>
      </c>
      <c r="B58" s="19">
        <v>2458</v>
      </c>
      <c r="C58" s="18">
        <v>270</v>
      </c>
      <c r="D58" s="18">
        <v>0</v>
      </c>
      <c r="E58" s="18">
        <v>0</v>
      </c>
      <c r="F58" s="18">
        <f t="shared" si="0"/>
        <v>270</v>
      </c>
      <c r="G58" s="18">
        <v>0</v>
      </c>
      <c r="H58" s="18">
        <v>0</v>
      </c>
      <c r="I58" s="18">
        <v>0</v>
      </c>
      <c r="J58" s="18">
        <f t="shared" si="1"/>
        <v>270</v>
      </c>
      <c r="K58" s="18">
        <f t="shared" si="1"/>
        <v>0</v>
      </c>
      <c r="L58" s="18">
        <f t="shared" si="1"/>
        <v>0</v>
      </c>
      <c r="M58" s="18">
        <f t="shared" si="2"/>
        <v>270</v>
      </c>
      <c r="N58" s="30">
        <f t="shared" si="3"/>
        <v>-19713.621534984399</v>
      </c>
      <c r="W58" s="18"/>
      <c r="X58" s="18"/>
      <c r="Y58" s="18"/>
    </row>
    <row r="59" spans="1:25" x14ac:dyDescent="0.2">
      <c r="A59" s="18" t="s">
        <v>95</v>
      </c>
      <c r="B59" s="19">
        <v>2001</v>
      </c>
      <c r="C59" s="18">
        <v>331</v>
      </c>
      <c r="D59" s="18">
        <v>0</v>
      </c>
      <c r="E59" s="18">
        <v>0</v>
      </c>
      <c r="F59" s="18">
        <f t="shared" si="0"/>
        <v>331</v>
      </c>
      <c r="G59" s="18">
        <v>0</v>
      </c>
      <c r="H59" s="18">
        <v>0</v>
      </c>
      <c r="I59" s="18">
        <v>0</v>
      </c>
      <c r="J59" s="18">
        <f t="shared" si="1"/>
        <v>331</v>
      </c>
      <c r="K59" s="18">
        <f t="shared" si="1"/>
        <v>0</v>
      </c>
      <c r="L59" s="18">
        <f t="shared" si="1"/>
        <v>0</v>
      </c>
      <c r="M59" s="18">
        <f t="shared" si="2"/>
        <v>331</v>
      </c>
      <c r="N59" s="30">
        <f t="shared" si="3"/>
        <v>-24167.43973362902</v>
      </c>
      <c r="W59" s="18"/>
      <c r="X59" s="18"/>
      <c r="Y59" s="18"/>
    </row>
    <row r="60" spans="1:25" x14ac:dyDescent="0.2">
      <c r="A60" s="18" t="s">
        <v>96</v>
      </c>
      <c r="B60" s="19">
        <v>2429</v>
      </c>
      <c r="C60" s="18">
        <v>155</v>
      </c>
      <c r="D60" s="18">
        <v>0</v>
      </c>
      <c r="E60" s="18">
        <v>0</v>
      </c>
      <c r="F60" s="18">
        <f t="shared" si="0"/>
        <v>155</v>
      </c>
      <c r="G60" s="18">
        <v>0</v>
      </c>
      <c r="H60" s="18">
        <v>0</v>
      </c>
      <c r="I60" s="18">
        <v>0</v>
      </c>
      <c r="J60" s="18">
        <f t="shared" si="1"/>
        <v>155</v>
      </c>
      <c r="K60" s="18">
        <f t="shared" si="1"/>
        <v>0</v>
      </c>
      <c r="L60" s="18">
        <f t="shared" si="1"/>
        <v>0</v>
      </c>
      <c r="M60" s="18">
        <f t="shared" si="2"/>
        <v>155</v>
      </c>
      <c r="N60" s="30">
        <f t="shared" si="3"/>
        <v>-11317.079029342895</v>
      </c>
      <c r="W60" s="18"/>
      <c r="X60" s="18"/>
      <c r="Y60" s="18"/>
    </row>
    <row r="61" spans="1:25" x14ac:dyDescent="0.2">
      <c r="A61" s="18" t="s">
        <v>97</v>
      </c>
      <c r="B61" s="19">
        <v>2444</v>
      </c>
      <c r="C61" s="18">
        <v>209</v>
      </c>
      <c r="D61" s="18">
        <v>0</v>
      </c>
      <c r="E61" s="18">
        <v>0</v>
      </c>
      <c r="F61" s="18">
        <f t="shared" si="0"/>
        <v>209</v>
      </c>
      <c r="G61" s="18">
        <v>0</v>
      </c>
      <c r="H61" s="18">
        <v>0</v>
      </c>
      <c r="I61" s="18">
        <v>0</v>
      </c>
      <c r="J61" s="18">
        <f t="shared" si="1"/>
        <v>209</v>
      </c>
      <c r="K61" s="18">
        <f t="shared" si="1"/>
        <v>0</v>
      </c>
      <c r="L61" s="18">
        <f t="shared" si="1"/>
        <v>0</v>
      </c>
      <c r="M61" s="18">
        <f t="shared" si="2"/>
        <v>209</v>
      </c>
      <c r="N61" s="30">
        <f t="shared" si="3"/>
        <v>-15259.803336339774</v>
      </c>
      <c r="W61" s="18"/>
      <c r="X61" s="18"/>
      <c r="Y61" s="18"/>
    </row>
    <row r="62" spans="1:25" x14ac:dyDescent="0.2">
      <c r="A62" s="18" t="s">
        <v>98</v>
      </c>
      <c r="B62" s="19">
        <v>5209</v>
      </c>
      <c r="C62" s="18">
        <v>270</v>
      </c>
      <c r="D62" s="18">
        <v>0</v>
      </c>
      <c r="E62" s="18">
        <v>0</v>
      </c>
      <c r="F62" s="18">
        <f t="shared" si="0"/>
        <v>270</v>
      </c>
      <c r="G62" s="18">
        <v>0</v>
      </c>
      <c r="H62" s="18">
        <v>0</v>
      </c>
      <c r="I62" s="18">
        <v>0</v>
      </c>
      <c r="J62" s="18">
        <f t="shared" si="1"/>
        <v>270</v>
      </c>
      <c r="K62" s="18">
        <f t="shared" si="1"/>
        <v>0</v>
      </c>
      <c r="L62" s="18">
        <f t="shared" si="1"/>
        <v>0</v>
      </c>
      <c r="M62" s="18">
        <f t="shared" si="2"/>
        <v>270</v>
      </c>
      <c r="N62" s="30">
        <f t="shared" si="3"/>
        <v>-19713.621534984399</v>
      </c>
      <c r="W62" s="18"/>
      <c r="X62" s="18"/>
      <c r="Y62" s="18"/>
    </row>
    <row r="63" spans="1:25" x14ac:dyDescent="0.2">
      <c r="A63" s="18" t="s">
        <v>99</v>
      </c>
      <c r="B63" s="19">
        <v>2469</v>
      </c>
      <c r="C63" s="18">
        <v>412</v>
      </c>
      <c r="D63" s="18">
        <v>0</v>
      </c>
      <c r="E63" s="18">
        <v>0</v>
      </c>
      <c r="F63" s="18">
        <f t="shared" si="0"/>
        <v>412</v>
      </c>
      <c r="G63" s="18">
        <v>0</v>
      </c>
      <c r="H63" s="18">
        <v>0</v>
      </c>
      <c r="I63" s="18">
        <v>0</v>
      </c>
      <c r="J63" s="18">
        <f t="shared" si="1"/>
        <v>412</v>
      </c>
      <c r="K63" s="18">
        <f t="shared" si="1"/>
        <v>0</v>
      </c>
      <c r="L63" s="18">
        <f t="shared" si="1"/>
        <v>0</v>
      </c>
      <c r="M63" s="18">
        <f t="shared" si="2"/>
        <v>412</v>
      </c>
      <c r="N63" s="30">
        <f t="shared" si="3"/>
        <v>-30081.526194124341</v>
      </c>
      <c r="W63" s="18"/>
      <c r="X63" s="18"/>
      <c r="Y63" s="18"/>
    </row>
    <row r="64" spans="1:25" x14ac:dyDescent="0.2">
      <c r="A64" s="18" t="s">
        <v>100</v>
      </c>
      <c r="B64" s="19">
        <v>2430</v>
      </c>
      <c r="C64" s="18">
        <v>113</v>
      </c>
      <c r="D64" s="18">
        <v>0</v>
      </c>
      <c r="E64" s="18">
        <v>0</v>
      </c>
      <c r="F64" s="18">
        <f t="shared" si="0"/>
        <v>113</v>
      </c>
      <c r="G64" s="18">
        <v>0</v>
      </c>
      <c r="H64" s="18">
        <v>0</v>
      </c>
      <c r="I64" s="18">
        <v>0</v>
      </c>
      <c r="J64" s="18">
        <f t="shared" si="1"/>
        <v>113</v>
      </c>
      <c r="K64" s="18">
        <f t="shared" si="1"/>
        <v>0</v>
      </c>
      <c r="L64" s="18">
        <f t="shared" si="1"/>
        <v>0</v>
      </c>
      <c r="M64" s="18">
        <f t="shared" si="2"/>
        <v>113</v>
      </c>
      <c r="N64" s="30">
        <f t="shared" si="3"/>
        <v>-8250.5156794564336</v>
      </c>
      <c r="W64" s="18"/>
      <c r="X64" s="18"/>
      <c r="Y64" s="18"/>
    </row>
    <row r="65" spans="1:26" x14ac:dyDescent="0.2">
      <c r="A65" s="18" t="s">
        <v>101</v>
      </c>
      <c r="B65" s="19">
        <v>2466</v>
      </c>
      <c r="C65" s="18">
        <v>170</v>
      </c>
      <c r="D65" s="18">
        <v>0</v>
      </c>
      <c r="E65" s="18">
        <v>0</v>
      </c>
      <c r="F65" s="18">
        <f t="shared" si="0"/>
        <v>170</v>
      </c>
      <c r="G65" s="18">
        <v>6</v>
      </c>
      <c r="H65" s="18">
        <v>0</v>
      </c>
      <c r="I65" s="18">
        <v>0</v>
      </c>
      <c r="J65" s="18">
        <f t="shared" si="1"/>
        <v>164</v>
      </c>
      <c r="K65" s="18">
        <f t="shared" si="1"/>
        <v>0</v>
      </c>
      <c r="L65" s="18">
        <f t="shared" si="1"/>
        <v>0</v>
      </c>
      <c r="M65" s="18">
        <f t="shared" si="2"/>
        <v>164</v>
      </c>
      <c r="N65" s="30">
        <f t="shared" si="3"/>
        <v>-11974.199747175708</v>
      </c>
      <c r="W65" s="18"/>
      <c r="X65" s="18"/>
      <c r="Y65" s="18"/>
    </row>
    <row r="66" spans="1:26" x14ac:dyDescent="0.2">
      <c r="A66" s="18" t="s">
        <v>102</v>
      </c>
      <c r="B66" s="19">
        <v>3543</v>
      </c>
      <c r="C66" s="18">
        <v>293</v>
      </c>
      <c r="D66" s="18">
        <v>0</v>
      </c>
      <c r="E66" s="18">
        <v>0</v>
      </c>
      <c r="F66" s="18">
        <f t="shared" si="0"/>
        <v>293</v>
      </c>
      <c r="G66" s="18">
        <v>0</v>
      </c>
      <c r="H66" s="18">
        <v>0</v>
      </c>
      <c r="I66" s="18">
        <v>0</v>
      </c>
      <c r="J66" s="18">
        <f t="shared" si="1"/>
        <v>293</v>
      </c>
      <c r="K66" s="18">
        <f t="shared" si="1"/>
        <v>0</v>
      </c>
      <c r="L66" s="18">
        <f t="shared" si="1"/>
        <v>0</v>
      </c>
      <c r="M66" s="18">
        <f t="shared" si="2"/>
        <v>293</v>
      </c>
      <c r="N66" s="30">
        <f t="shared" si="3"/>
        <v>-21392.930036112699</v>
      </c>
      <c r="W66" s="18"/>
      <c r="X66" s="18"/>
      <c r="Y66" s="18"/>
    </row>
    <row r="67" spans="1:26" s="241" customFormat="1" x14ac:dyDescent="0.2">
      <c r="A67" s="246" t="s">
        <v>104</v>
      </c>
      <c r="B67" s="220">
        <v>3531</v>
      </c>
      <c r="C67" s="246">
        <v>350</v>
      </c>
      <c r="D67" s="246">
        <v>0</v>
      </c>
      <c r="E67" s="246">
        <v>0</v>
      </c>
      <c r="F67" s="246">
        <f t="shared" si="0"/>
        <v>350</v>
      </c>
      <c r="G67" s="246">
        <v>0</v>
      </c>
      <c r="H67" s="246">
        <v>0</v>
      </c>
      <c r="I67" s="246">
        <v>0</v>
      </c>
      <c r="J67" s="246">
        <v>0</v>
      </c>
      <c r="K67" s="246">
        <f t="shared" si="1"/>
        <v>0</v>
      </c>
      <c r="L67" s="246">
        <f t="shared" si="1"/>
        <v>0</v>
      </c>
      <c r="M67" s="246">
        <f t="shared" si="2"/>
        <v>0</v>
      </c>
      <c r="N67" s="242">
        <f t="shared" si="3"/>
        <v>0</v>
      </c>
      <c r="W67" s="246"/>
      <c r="X67" s="246"/>
      <c r="Y67" s="246"/>
    </row>
    <row r="68" spans="1:26" x14ac:dyDescent="0.2">
      <c r="A68" s="18" t="s">
        <v>164</v>
      </c>
      <c r="B68" s="19">
        <v>3526</v>
      </c>
      <c r="C68" s="18">
        <v>83</v>
      </c>
      <c r="D68" s="18">
        <v>0</v>
      </c>
      <c r="E68" s="18">
        <v>0</v>
      </c>
      <c r="F68" s="18">
        <f t="shared" si="0"/>
        <v>83</v>
      </c>
      <c r="G68" s="18">
        <v>0</v>
      </c>
      <c r="H68" s="18">
        <v>0</v>
      </c>
      <c r="I68" s="18">
        <v>0</v>
      </c>
      <c r="J68" s="18">
        <f t="shared" si="1"/>
        <v>83</v>
      </c>
      <c r="K68" s="18">
        <f t="shared" si="1"/>
        <v>0</v>
      </c>
      <c r="L68" s="18">
        <f t="shared" si="1"/>
        <v>0</v>
      </c>
      <c r="M68" s="18">
        <f t="shared" si="2"/>
        <v>83</v>
      </c>
      <c r="N68" s="30">
        <f t="shared" si="3"/>
        <v>-6060.1132866803891</v>
      </c>
      <c r="W68" s="18"/>
      <c r="X68" s="18"/>
      <c r="Y68" s="18"/>
    </row>
    <row r="69" spans="1:26" x14ac:dyDescent="0.2">
      <c r="A69" s="18" t="s">
        <v>165</v>
      </c>
      <c r="B69" s="19">
        <v>3535</v>
      </c>
      <c r="C69" s="18">
        <v>302</v>
      </c>
      <c r="D69" s="18">
        <v>0</v>
      </c>
      <c r="E69" s="18">
        <v>0</v>
      </c>
      <c r="F69" s="18">
        <f t="shared" si="0"/>
        <v>302</v>
      </c>
      <c r="G69" s="18">
        <v>0</v>
      </c>
      <c r="H69" s="18">
        <v>0</v>
      </c>
      <c r="I69" s="18">
        <v>0</v>
      </c>
      <c r="J69" s="18">
        <f t="shared" si="1"/>
        <v>302</v>
      </c>
      <c r="K69" s="18">
        <f t="shared" si="1"/>
        <v>0</v>
      </c>
      <c r="L69" s="18">
        <f t="shared" si="1"/>
        <v>0</v>
      </c>
      <c r="M69" s="18">
        <f t="shared" si="2"/>
        <v>302</v>
      </c>
      <c r="N69" s="30">
        <f t="shared" si="3"/>
        <v>-22050.05075394551</v>
      </c>
      <c r="W69" s="18"/>
      <c r="X69" s="18"/>
      <c r="Y69" s="18"/>
    </row>
    <row r="70" spans="1:26" s="241" customFormat="1" x14ac:dyDescent="0.2">
      <c r="A70" s="247" t="s">
        <v>107</v>
      </c>
      <c r="B70" s="220">
        <v>2008</v>
      </c>
      <c r="C70" s="246">
        <v>221</v>
      </c>
      <c r="D70" s="246">
        <v>0</v>
      </c>
      <c r="E70" s="246">
        <v>0</v>
      </c>
      <c r="F70" s="246">
        <f t="shared" si="0"/>
        <v>221</v>
      </c>
      <c r="G70" s="246">
        <v>0</v>
      </c>
      <c r="H70" s="246">
        <v>0</v>
      </c>
      <c r="I70" s="246">
        <v>0</v>
      </c>
      <c r="J70" s="246">
        <v>0</v>
      </c>
      <c r="K70" s="246">
        <f t="shared" si="1"/>
        <v>0</v>
      </c>
      <c r="L70" s="246">
        <f t="shared" si="1"/>
        <v>0</v>
      </c>
      <c r="M70" s="246">
        <f t="shared" si="2"/>
        <v>0</v>
      </c>
      <c r="N70" s="242">
        <f t="shared" si="3"/>
        <v>0</v>
      </c>
      <c r="W70" s="246"/>
      <c r="X70" s="246"/>
      <c r="Y70" s="246"/>
    </row>
    <row r="71" spans="1:26" x14ac:dyDescent="0.2">
      <c r="A71" s="18" t="s">
        <v>166</v>
      </c>
      <c r="B71" s="19">
        <v>3542</v>
      </c>
      <c r="C71" s="18">
        <v>359</v>
      </c>
      <c r="D71" s="18">
        <v>0</v>
      </c>
      <c r="E71" s="18">
        <v>0</v>
      </c>
      <c r="F71" s="18">
        <f t="shared" si="0"/>
        <v>359</v>
      </c>
      <c r="G71" s="18">
        <v>0</v>
      </c>
      <c r="H71" s="18">
        <v>0</v>
      </c>
      <c r="I71" s="18">
        <v>0</v>
      </c>
      <c r="J71" s="18">
        <f t="shared" si="1"/>
        <v>359</v>
      </c>
      <c r="K71" s="18">
        <f t="shared" si="1"/>
        <v>0</v>
      </c>
      <c r="L71" s="18">
        <f t="shared" si="1"/>
        <v>0</v>
      </c>
      <c r="M71" s="18">
        <f t="shared" si="2"/>
        <v>359</v>
      </c>
      <c r="N71" s="30">
        <f t="shared" si="3"/>
        <v>-26211.815300219994</v>
      </c>
      <c r="W71" s="18"/>
      <c r="X71" s="18"/>
      <c r="Y71" s="18"/>
    </row>
    <row r="72" spans="1:26" x14ac:dyDescent="0.2">
      <c r="A72" s="18" t="s">
        <v>167</v>
      </c>
      <c r="B72" s="19">
        <v>3528</v>
      </c>
      <c r="C72" s="18">
        <v>352</v>
      </c>
      <c r="D72" s="18">
        <v>0</v>
      </c>
      <c r="E72" s="18">
        <v>0</v>
      </c>
      <c r="F72" s="18">
        <f t="shared" ref="F72:F77" si="4">SUM(C72:E72)</f>
        <v>352</v>
      </c>
      <c r="G72" s="18">
        <v>0</v>
      </c>
      <c r="H72" s="18">
        <v>0</v>
      </c>
      <c r="I72" s="18">
        <v>0</v>
      </c>
      <c r="J72" s="18">
        <f t="shared" ref="J72:L77" si="5">C72-G72</f>
        <v>352</v>
      </c>
      <c r="K72" s="18">
        <f t="shared" si="5"/>
        <v>0</v>
      </c>
      <c r="L72" s="18">
        <f t="shared" si="5"/>
        <v>0</v>
      </c>
      <c r="M72" s="18">
        <f t="shared" ref="M72:M77" si="6">SUM(J72:L72)</f>
        <v>352</v>
      </c>
      <c r="N72" s="30">
        <f t="shared" ref="N72:N77" si="7">SUM(J72*$J$1)+SUM(K72*$K$3)+SUM(L72*$L$4)</f>
        <v>-25700.721408572252</v>
      </c>
      <c r="W72" s="18"/>
      <c r="X72" s="18"/>
      <c r="Y72" s="18"/>
    </row>
    <row r="73" spans="1:26" x14ac:dyDescent="0.2">
      <c r="A73" s="18" t="s">
        <v>168</v>
      </c>
      <c r="B73" s="19">
        <v>3534</v>
      </c>
      <c r="C73" s="18">
        <v>239</v>
      </c>
      <c r="D73" s="18">
        <v>0</v>
      </c>
      <c r="E73" s="18">
        <v>0</v>
      </c>
      <c r="F73" s="18">
        <f t="shared" si="4"/>
        <v>239</v>
      </c>
      <c r="G73" s="18">
        <v>0</v>
      </c>
      <c r="H73" s="18">
        <v>0</v>
      </c>
      <c r="I73" s="18">
        <v>0</v>
      </c>
      <c r="J73" s="18">
        <f t="shared" si="5"/>
        <v>239</v>
      </c>
      <c r="K73" s="18">
        <f t="shared" si="5"/>
        <v>0</v>
      </c>
      <c r="L73" s="18">
        <f t="shared" si="5"/>
        <v>0</v>
      </c>
      <c r="M73" s="18">
        <f t="shared" si="6"/>
        <v>239</v>
      </c>
      <c r="N73" s="30">
        <f t="shared" si="7"/>
        <v>-17450.20572911582</v>
      </c>
      <c r="W73" s="18"/>
      <c r="X73" s="18"/>
      <c r="Y73" s="18"/>
    </row>
    <row r="74" spans="1:26" x14ac:dyDescent="0.2">
      <c r="A74" s="18" t="s">
        <v>169</v>
      </c>
      <c r="B74" s="19">
        <v>3532</v>
      </c>
      <c r="C74" s="18">
        <v>303</v>
      </c>
      <c r="D74" s="18">
        <v>0</v>
      </c>
      <c r="E74" s="18">
        <v>0</v>
      </c>
      <c r="F74" s="18">
        <f t="shared" si="4"/>
        <v>303</v>
      </c>
      <c r="G74" s="18">
        <v>0</v>
      </c>
      <c r="H74" s="18">
        <v>0</v>
      </c>
      <c r="I74" s="18">
        <v>0</v>
      </c>
      <c r="J74" s="18">
        <f t="shared" si="5"/>
        <v>303</v>
      </c>
      <c r="K74" s="18">
        <f t="shared" si="5"/>
        <v>0</v>
      </c>
      <c r="L74" s="18">
        <f t="shared" si="5"/>
        <v>0</v>
      </c>
      <c r="M74" s="18">
        <f t="shared" si="6"/>
        <v>303</v>
      </c>
      <c r="N74" s="30">
        <f t="shared" si="7"/>
        <v>-22123.064167038046</v>
      </c>
      <c r="W74" s="18"/>
      <c r="X74" s="18"/>
      <c r="Y74" s="18"/>
    </row>
    <row r="75" spans="1:26" x14ac:dyDescent="0.2">
      <c r="A75" s="18" t="s">
        <v>112</v>
      </c>
      <c r="B75" s="19">
        <v>3546</v>
      </c>
      <c r="C75" s="18">
        <v>533</v>
      </c>
      <c r="D75" s="18">
        <v>0</v>
      </c>
      <c r="E75" s="18">
        <v>0</v>
      </c>
      <c r="F75" s="18">
        <f t="shared" si="4"/>
        <v>533</v>
      </c>
      <c r="G75" s="18">
        <v>0</v>
      </c>
      <c r="H75" s="18">
        <v>0</v>
      </c>
      <c r="I75" s="18">
        <v>0</v>
      </c>
      <c r="J75" s="18">
        <f t="shared" si="5"/>
        <v>533</v>
      </c>
      <c r="K75" s="18">
        <f t="shared" si="5"/>
        <v>0</v>
      </c>
      <c r="L75" s="18">
        <f t="shared" si="5"/>
        <v>0</v>
      </c>
      <c r="M75" s="18">
        <f t="shared" si="6"/>
        <v>533</v>
      </c>
      <c r="N75" s="30">
        <f t="shared" si="7"/>
        <v>-38916.149178321051</v>
      </c>
      <c r="W75" s="18"/>
      <c r="X75" s="18"/>
      <c r="Y75" s="18"/>
    </row>
    <row r="76" spans="1:26" x14ac:dyDescent="0.2">
      <c r="A76" s="18" t="s">
        <v>170</v>
      </c>
      <c r="B76" s="19">
        <v>3530</v>
      </c>
      <c r="C76" s="18">
        <v>311</v>
      </c>
      <c r="D76" s="18">
        <v>0</v>
      </c>
      <c r="E76" s="18">
        <v>0</v>
      </c>
      <c r="F76" s="18">
        <f t="shared" si="4"/>
        <v>311</v>
      </c>
      <c r="G76" s="18">
        <v>0</v>
      </c>
      <c r="H76" s="18">
        <v>0</v>
      </c>
      <c r="I76" s="18">
        <v>0</v>
      </c>
      <c r="J76" s="18">
        <f t="shared" si="5"/>
        <v>311</v>
      </c>
      <c r="K76" s="18">
        <f t="shared" si="5"/>
        <v>0</v>
      </c>
      <c r="L76" s="18">
        <f t="shared" si="5"/>
        <v>0</v>
      </c>
      <c r="M76" s="18">
        <f t="shared" si="6"/>
        <v>311</v>
      </c>
      <c r="N76" s="30">
        <f t="shared" si="7"/>
        <v>-22707.171471778325</v>
      </c>
      <c r="W76" s="18"/>
      <c r="X76" s="18"/>
      <c r="Y76" s="18"/>
    </row>
    <row r="77" spans="1:26" x14ac:dyDescent="0.2">
      <c r="A77" s="18" t="s">
        <v>114</v>
      </c>
      <c r="B77" s="19">
        <v>2459</v>
      </c>
      <c r="C77" s="18">
        <v>387</v>
      </c>
      <c r="D77" s="18">
        <v>0</v>
      </c>
      <c r="E77" s="18">
        <v>0</v>
      </c>
      <c r="F77" s="18">
        <f t="shared" si="4"/>
        <v>387</v>
      </c>
      <c r="G77" s="18">
        <v>0</v>
      </c>
      <c r="H77" s="18">
        <v>0</v>
      </c>
      <c r="I77" s="18">
        <v>0</v>
      </c>
      <c r="J77" s="18">
        <f t="shared" si="5"/>
        <v>387</v>
      </c>
      <c r="K77" s="18">
        <f t="shared" si="5"/>
        <v>0</v>
      </c>
      <c r="L77" s="18">
        <f t="shared" si="5"/>
        <v>0</v>
      </c>
      <c r="M77" s="18">
        <f t="shared" si="6"/>
        <v>387</v>
      </c>
      <c r="N77" s="30">
        <f t="shared" si="7"/>
        <v>-28256.190866810968</v>
      </c>
      <c r="W77" s="18"/>
      <c r="X77" s="18"/>
      <c r="Y77" s="18"/>
    </row>
    <row r="78" spans="1:26" x14ac:dyDescent="0.2">
      <c r="A78" s="18"/>
      <c r="B78" s="19"/>
      <c r="C78" s="18"/>
      <c r="D78" s="18"/>
      <c r="E78" s="18"/>
      <c r="F78" s="18"/>
      <c r="G78" s="18"/>
      <c r="H78" s="18"/>
      <c r="I78" s="18"/>
      <c r="J78" s="18"/>
      <c r="K78" s="18"/>
      <c r="L78" s="18"/>
      <c r="M78" s="18"/>
      <c r="N78" s="30"/>
      <c r="W78" s="18"/>
      <c r="X78" s="18"/>
      <c r="Y78" s="18"/>
    </row>
    <row r="79" spans="1:26" x14ac:dyDescent="0.2">
      <c r="A79" s="9" t="s">
        <v>171</v>
      </c>
      <c r="B79" s="9" t="s">
        <v>171</v>
      </c>
      <c r="C79" s="9">
        <f t="shared" ref="C79:N79" si="8">SUM(C7:C78)</f>
        <v>21126</v>
      </c>
      <c r="D79" s="9">
        <f t="shared" si="8"/>
        <v>0</v>
      </c>
      <c r="E79" s="9">
        <f t="shared" si="8"/>
        <v>0</v>
      </c>
      <c r="F79" s="9">
        <f t="shared" si="8"/>
        <v>21126</v>
      </c>
      <c r="G79" s="9">
        <v>127</v>
      </c>
      <c r="H79" s="9">
        <v>0</v>
      </c>
      <c r="I79" s="9">
        <v>0</v>
      </c>
      <c r="J79" s="9">
        <f t="shared" si="8"/>
        <v>19700</v>
      </c>
      <c r="K79" s="9">
        <f t="shared" si="8"/>
        <v>0</v>
      </c>
      <c r="L79" s="9">
        <f t="shared" si="8"/>
        <v>0</v>
      </c>
      <c r="M79" s="9">
        <f t="shared" si="8"/>
        <v>19700</v>
      </c>
      <c r="N79" s="9">
        <f t="shared" si="8"/>
        <v>-1438364.2379229353</v>
      </c>
      <c r="W79" s="9"/>
      <c r="X79" s="9"/>
      <c r="Y79" s="9"/>
      <c r="Z79" s="9"/>
    </row>
    <row r="80" spans="1:26" x14ac:dyDescent="0.2">
      <c r="A80" s="18"/>
      <c r="B80" s="19"/>
      <c r="C80" s="18"/>
      <c r="D80" s="18"/>
      <c r="E80" s="18"/>
      <c r="F80" s="18"/>
      <c r="G80" s="18"/>
      <c r="H80" s="18"/>
      <c r="I80" s="18"/>
      <c r="J80" s="18"/>
      <c r="K80" s="18"/>
      <c r="L80" s="18"/>
      <c r="M80" s="18"/>
      <c r="N80" s="30"/>
      <c r="W80" s="18"/>
      <c r="X80" s="18"/>
      <c r="Y80" s="18"/>
      <c r="Z80" s="9"/>
    </row>
    <row r="81" spans="1:26" s="241" customFormat="1" x14ac:dyDescent="0.2">
      <c r="A81" s="246" t="s">
        <v>127</v>
      </c>
      <c r="B81" s="220">
        <v>5402</v>
      </c>
      <c r="C81" s="246">
        <v>0</v>
      </c>
      <c r="D81" s="246">
        <v>784</v>
      </c>
      <c r="E81" s="246">
        <v>549</v>
      </c>
      <c r="F81" s="246">
        <f t="shared" ref="F81:F93" si="9">SUM(C81:E81)</f>
        <v>1333</v>
      </c>
      <c r="G81" s="246">
        <v>0</v>
      </c>
      <c r="H81" s="246">
        <v>0</v>
      </c>
      <c r="I81" s="246">
        <v>0</v>
      </c>
      <c r="J81" s="246">
        <f t="shared" ref="J81:L93" si="10">C81-G81</f>
        <v>0</v>
      </c>
      <c r="K81" s="246">
        <v>0</v>
      </c>
      <c r="L81" s="246">
        <v>0</v>
      </c>
      <c r="M81" s="246">
        <f t="shared" ref="M81:M93" si="11">SUM(J81:L81)</f>
        <v>0</v>
      </c>
      <c r="N81" s="242">
        <f t="shared" ref="N81:N93" si="12">SUM(J81*$J$1)+SUM(K81*$K$3)+SUM(L81*$L$4)</f>
        <v>0</v>
      </c>
      <c r="W81" s="246"/>
      <c r="X81" s="246"/>
      <c r="Y81" s="246"/>
    </row>
    <row r="82" spans="1:26" x14ac:dyDescent="0.2">
      <c r="A82" s="18" t="s">
        <v>116</v>
      </c>
      <c r="B82" s="19">
        <v>4608</v>
      </c>
      <c r="C82" s="18">
        <v>0</v>
      </c>
      <c r="D82" s="18">
        <v>317</v>
      </c>
      <c r="E82" s="18">
        <v>241</v>
      </c>
      <c r="F82" s="18">
        <f t="shared" si="9"/>
        <v>558</v>
      </c>
      <c r="G82" s="18">
        <v>0</v>
      </c>
      <c r="H82" s="18">
        <v>0</v>
      </c>
      <c r="I82" s="18">
        <v>0</v>
      </c>
      <c r="J82" s="18">
        <f t="shared" si="10"/>
        <v>0</v>
      </c>
      <c r="K82" s="18">
        <f t="shared" si="10"/>
        <v>317</v>
      </c>
      <c r="L82" s="18">
        <f t="shared" si="10"/>
        <v>241</v>
      </c>
      <c r="M82" s="18">
        <f t="shared" si="11"/>
        <v>558</v>
      </c>
      <c r="N82" s="30">
        <f>SUM(J82*$J$1)+SUM(K82*$K$3)+SUM(L82*$L$4)</f>
        <v>-33201.595914746234</v>
      </c>
      <c r="W82" s="18"/>
      <c r="X82" s="18"/>
      <c r="Y82" s="18"/>
    </row>
    <row r="83" spans="1:26" x14ac:dyDescent="0.2">
      <c r="A83" s="18" t="s">
        <v>172</v>
      </c>
      <c r="B83" s="19">
        <v>4178</v>
      </c>
      <c r="C83" s="18">
        <v>0</v>
      </c>
      <c r="D83" s="18">
        <v>783</v>
      </c>
      <c r="E83" s="18">
        <v>525</v>
      </c>
      <c r="F83" s="18">
        <f t="shared" si="9"/>
        <v>1308</v>
      </c>
      <c r="G83" s="18">
        <v>0</v>
      </c>
      <c r="H83" s="18">
        <v>0</v>
      </c>
      <c r="I83" s="18">
        <v>0</v>
      </c>
      <c r="J83" s="18">
        <f t="shared" si="10"/>
        <v>0</v>
      </c>
      <c r="K83" s="18">
        <f t="shared" si="10"/>
        <v>783</v>
      </c>
      <c r="L83" s="18">
        <f t="shared" si="10"/>
        <v>525</v>
      </c>
      <c r="M83" s="18">
        <f t="shared" si="11"/>
        <v>1308</v>
      </c>
      <c r="N83" s="30">
        <f>SUM(J83*$J$1)+SUM(K83*$K$3)+SUM(L83*$L$4)</f>
        <v>-77827.396875426668</v>
      </c>
      <c r="W83" s="18"/>
      <c r="X83" s="18"/>
      <c r="Y83" s="18"/>
    </row>
    <row r="84" spans="1:26" s="241" customFormat="1" x14ac:dyDescent="0.2">
      <c r="A84" s="246" t="s">
        <v>118</v>
      </c>
      <c r="B84" s="220">
        <v>4181</v>
      </c>
      <c r="C84" s="246">
        <v>0</v>
      </c>
      <c r="D84" s="246">
        <v>651</v>
      </c>
      <c r="E84" s="246">
        <v>432</v>
      </c>
      <c r="F84" s="246">
        <f t="shared" si="9"/>
        <v>1083</v>
      </c>
      <c r="G84" s="246">
        <v>0</v>
      </c>
      <c r="H84" s="246">
        <v>8</v>
      </c>
      <c r="I84" s="246">
        <v>8</v>
      </c>
      <c r="J84" s="246">
        <f t="shared" si="10"/>
        <v>0</v>
      </c>
      <c r="K84" s="246">
        <v>0</v>
      </c>
      <c r="L84" s="246">
        <v>0</v>
      </c>
      <c r="M84" s="246">
        <f t="shared" si="11"/>
        <v>0</v>
      </c>
      <c r="N84" s="242">
        <f t="shared" si="12"/>
        <v>0</v>
      </c>
      <c r="W84" s="246"/>
      <c r="X84" s="246"/>
      <c r="Y84" s="246"/>
      <c r="Z84" s="248"/>
    </row>
    <row r="85" spans="1:26" x14ac:dyDescent="0.2">
      <c r="A85" s="18" t="s">
        <v>119</v>
      </c>
      <c r="B85" s="19">
        <v>4182</v>
      </c>
      <c r="C85" s="18">
        <v>0</v>
      </c>
      <c r="D85" s="18">
        <v>842</v>
      </c>
      <c r="E85" s="18">
        <v>530</v>
      </c>
      <c r="F85" s="18">
        <f t="shared" si="9"/>
        <v>1372</v>
      </c>
      <c r="G85" s="18">
        <v>0</v>
      </c>
      <c r="H85" s="18">
        <v>0</v>
      </c>
      <c r="I85" s="18">
        <v>0</v>
      </c>
      <c r="J85" s="18">
        <f t="shared" si="10"/>
        <v>0</v>
      </c>
      <c r="K85" s="18">
        <f t="shared" si="10"/>
        <v>842</v>
      </c>
      <c r="L85" s="18">
        <f t="shared" si="10"/>
        <v>530</v>
      </c>
      <c r="M85" s="18">
        <f t="shared" si="11"/>
        <v>1372</v>
      </c>
      <c r="N85" s="30">
        <f t="shared" si="12"/>
        <v>-81635.465224071391</v>
      </c>
      <c r="W85" s="18"/>
      <c r="X85" s="18"/>
      <c r="Y85" s="18"/>
    </row>
    <row r="86" spans="1:26" s="241" customFormat="1" x14ac:dyDescent="0.2">
      <c r="A86" s="246" t="s">
        <v>120</v>
      </c>
      <c r="B86" s="221">
        <v>4001</v>
      </c>
      <c r="C86" s="246">
        <v>0</v>
      </c>
      <c r="D86" s="246">
        <v>426</v>
      </c>
      <c r="E86" s="246">
        <v>339</v>
      </c>
      <c r="F86" s="246">
        <f t="shared" si="9"/>
        <v>765</v>
      </c>
      <c r="G86" s="246">
        <v>0</v>
      </c>
      <c r="H86" s="246">
        <v>0</v>
      </c>
      <c r="I86" s="246">
        <v>0</v>
      </c>
      <c r="J86" s="246">
        <f t="shared" si="10"/>
        <v>0</v>
      </c>
      <c r="K86" s="246">
        <v>0</v>
      </c>
      <c r="L86" s="246">
        <v>0</v>
      </c>
      <c r="M86" s="246">
        <f t="shared" si="11"/>
        <v>0</v>
      </c>
      <c r="N86" s="242">
        <f t="shared" si="12"/>
        <v>0</v>
      </c>
      <c r="W86" s="246"/>
      <c r="X86" s="246"/>
      <c r="Y86" s="246"/>
    </row>
    <row r="87" spans="1:26" x14ac:dyDescent="0.2">
      <c r="A87" s="18" t="s">
        <v>173</v>
      </c>
      <c r="B87" s="19">
        <v>5406</v>
      </c>
      <c r="C87" s="18">
        <v>0</v>
      </c>
      <c r="D87" s="18">
        <v>478</v>
      </c>
      <c r="E87" s="18">
        <v>372</v>
      </c>
      <c r="F87" s="18">
        <f t="shared" si="9"/>
        <v>850</v>
      </c>
      <c r="G87" s="18">
        <v>0</v>
      </c>
      <c r="H87" s="18">
        <v>0</v>
      </c>
      <c r="I87" s="18">
        <v>0</v>
      </c>
      <c r="J87" s="18">
        <f t="shared" si="10"/>
        <v>0</v>
      </c>
      <c r="K87" s="18">
        <f t="shared" si="10"/>
        <v>478</v>
      </c>
      <c r="L87" s="18">
        <f t="shared" si="10"/>
        <v>372</v>
      </c>
      <c r="M87" s="18">
        <f t="shared" si="11"/>
        <v>850</v>
      </c>
      <c r="N87" s="30">
        <f t="shared" si="12"/>
        <v>-50575.907755437816</v>
      </c>
      <c r="W87" s="18"/>
      <c r="X87" s="18"/>
      <c r="Y87" s="18"/>
    </row>
    <row r="88" spans="1:26" x14ac:dyDescent="0.2">
      <c r="A88" s="18" t="s">
        <v>174</v>
      </c>
      <c r="B88" s="19">
        <v>5407</v>
      </c>
      <c r="C88" s="18">
        <v>0</v>
      </c>
      <c r="D88" s="18">
        <v>612</v>
      </c>
      <c r="E88" s="18">
        <v>383</v>
      </c>
      <c r="F88" s="18">
        <f t="shared" si="9"/>
        <v>995</v>
      </c>
      <c r="G88" s="18">
        <v>0</v>
      </c>
      <c r="H88" s="18">
        <v>0</v>
      </c>
      <c r="I88" s="18">
        <v>0</v>
      </c>
      <c r="J88" s="18">
        <f t="shared" si="10"/>
        <v>0</v>
      </c>
      <c r="K88" s="18">
        <f t="shared" si="10"/>
        <v>612</v>
      </c>
      <c r="L88" s="18">
        <f t="shared" si="10"/>
        <v>383</v>
      </c>
      <c r="M88" s="18">
        <f t="shared" si="11"/>
        <v>995</v>
      </c>
      <c r="N88" s="30">
        <f t="shared" si="12"/>
        <v>-59203.562607836036</v>
      </c>
      <c r="W88" s="18"/>
      <c r="X88" s="18"/>
      <c r="Y88" s="18"/>
      <c r="Z88" s="249"/>
    </row>
    <row r="89" spans="1:26" s="241" customFormat="1" x14ac:dyDescent="0.2">
      <c r="A89" s="246" t="s">
        <v>123</v>
      </c>
      <c r="B89" s="220">
        <v>4607</v>
      </c>
      <c r="C89" s="246">
        <v>0</v>
      </c>
      <c r="D89" s="246">
        <v>701</v>
      </c>
      <c r="E89" s="246">
        <v>475</v>
      </c>
      <c r="F89" s="246">
        <f t="shared" si="9"/>
        <v>1176</v>
      </c>
      <c r="G89" s="246">
        <v>0</v>
      </c>
      <c r="H89" s="246">
        <v>0</v>
      </c>
      <c r="I89" s="246">
        <v>20</v>
      </c>
      <c r="J89" s="246">
        <f t="shared" si="10"/>
        <v>0</v>
      </c>
      <c r="K89" s="246">
        <v>0</v>
      </c>
      <c r="L89" s="246">
        <v>0</v>
      </c>
      <c r="M89" s="246">
        <f t="shared" si="11"/>
        <v>0</v>
      </c>
      <c r="N89" s="242">
        <f t="shared" si="12"/>
        <v>0</v>
      </c>
      <c r="W89" s="246"/>
      <c r="X89" s="246"/>
      <c r="Y89" s="246"/>
      <c r="Z89" s="248"/>
    </row>
    <row r="90" spans="1:26" s="241" customFormat="1" x14ac:dyDescent="0.2">
      <c r="A90" s="246" t="s">
        <v>260</v>
      </c>
      <c r="B90" s="221">
        <v>4002</v>
      </c>
      <c r="C90" s="246">
        <v>0</v>
      </c>
      <c r="D90" s="246">
        <v>368</v>
      </c>
      <c r="E90" s="246">
        <v>382</v>
      </c>
      <c r="F90" s="246">
        <f t="shared" si="9"/>
        <v>750</v>
      </c>
      <c r="G90" s="246">
        <v>0</v>
      </c>
      <c r="H90" s="246">
        <v>0</v>
      </c>
      <c r="I90" s="246">
        <v>0</v>
      </c>
      <c r="J90" s="246">
        <f t="shared" si="10"/>
        <v>0</v>
      </c>
      <c r="K90" s="246">
        <v>0</v>
      </c>
      <c r="L90" s="246">
        <v>0</v>
      </c>
      <c r="M90" s="246">
        <f t="shared" si="11"/>
        <v>0</v>
      </c>
      <c r="N90" s="242">
        <f t="shared" si="12"/>
        <v>0</v>
      </c>
      <c r="W90" s="246"/>
      <c r="X90" s="246"/>
      <c r="Y90" s="246"/>
    </row>
    <row r="91" spans="1:26" x14ac:dyDescent="0.2">
      <c r="A91" s="18" t="s">
        <v>175</v>
      </c>
      <c r="B91" s="19">
        <v>4177</v>
      </c>
      <c r="C91" s="18">
        <f>75/12*7</f>
        <v>43.75</v>
      </c>
      <c r="D91" s="18">
        <v>331</v>
      </c>
      <c r="E91" s="18">
        <v>282</v>
      </c>
      <c r="F91" s="18">
        <f t="shared" si="9"/>
        <v>656.75</v>
      </c>
      <c r="G91" s="18">
        <v>0</v>
      </c>
      <c r="H91" s="18">
        <v>25</v>
      </c>
      <c r="I91" s="18">
        <v>20</v>
      </c>
      <c r="J91" s="18">
        <f t="shared" si="10"/>
        <v>43.75</v>
      </c>
      <c r="K91" s="18">
        <f t="shared" si="10"/>
        <v>306</v>
      </c>
      <c r="L91" s="18">
        <f>E91-I91</f>
        <v>262</v>
      </c>
      <c r="M91" s="18">
        <f>SUM(J91:L91)</f>
        <v>611.75</v>
      </c>
      <c r="N91" s="30">
        <f>SUM(J91*$K$3)+SUM(K91*$K$3)+SUM(L91*$L$4)</f>
        <v>-36399.778316928336</v>
      </c>
      <c r="W91" s="18"/>
      <c r="X91" s="18"/>
      <c r="Y91" s="18"/>
    </row>
    <row r="92" spans="1:26" s="241" customFormat="1" x14ac:dyDescent="0.2">
      <c r="A92" s="246" t="s">
        <v>126</v>
      </c>
      <c r="B92" s="220">
        <v>5412</v>
      </c>
      <c r="C92" s="246">
        <v>0</v>
      </c>
      <c r="D92" s="246">
        <v>742</v>
      </c>
      <c r="E92" s="246">
        <v>501</v>
      </c>
      <c r="F92" s="246">
        <f t="shared" si="9"/>
        <v>1243</v>
      </c>
      <c r="G92" s="246">
        <v>0</v>
      </c>
      <c r="H92" s="246">
        <v>0</v>
      </c>
      <c r="I92" s="246">
        <v>0</v>
      </c>
      <c r="J92" s="246">
        <f t="shared" si="10"/>
        <v>0</v>
      </c>
      <c r="K92" s="246">
        <v>0</v>
      </c>
      <c r="L92" s="246">
        <v>0</v>
      </c>
      <c r="M92" s="246">
        <f>SUM(J92:L92)</f>
        <v>0</v>
      </c>
      <c r="N92" s="242">
        <f t="shared" si="12"/>
        <v>0</v>
      </c>
      <c r="W92" s="246"/>
      <c r="X92" s="246"/>
      <c r="Y92" s="246"/>
    </row>
    <row r="93" spans="1:26" s="241" customFormat="1" x14ac:dyDescent="0.2">
      <c r="A93" s="246" t="s">
        <v>125</v>
      </c>
      <c r="B93" s="220">
        <v>5414</v>
      </c>
      <c r="C93" s="246">
        <v>0</v>
      </c>
      <c r="D93" s="246">
        <v>632</v>
      </c>
      <c r="E93" s="246">
        <v>405</v>
      </c>
      <c r="F93" s="246">
        <f t="shared" si="9"/>
        <v>1037</v>
      </c>
      <c r="G93" s="246">
        <v>0</v>
      </c>
      <c r="H93" s="246">
        <v>0</v>
      </c>
      <c r="I93" s="246">
        <v>14</v>
      </c>
      <c r="J93" s="246">
        <f t="shared" si="10"/>
        <v>0</v>
      </c>
      <c r="K93" s="246">
        <v>0</v>
      </c>
      <c r="L93" s="246">
        <v>0</v>
      </c>
      <c r="M93" s="246">
        <f t="shared" si="11"/>
        <v>0</v>
      </c>
      <c r="N93" s="242">
        <f t="shared" si="12"/>
        <v>0</v>
      </c>
      <c r="W93" s="246"/>
      <c r="X93" s="246"/>
      <c r="Y93" s="246"/>
    </row>
    <row r="94" spans="1:26" x14ac:dyDescent="0.2">
      <c r="A94" s="18"/>
      <c r="B94" s="19"/>
      <c r="C94" s="18"/>
      <c r="D94" s="18"/>
      <c r="E94" s="18"/>
      <c r="F94" s="18"/>
      <c r="G94" s="18"/>
      <c r="H94" s="18"/>
      <c r="I94" s="18"/>
      <c r="J94" s="18"/>
      <c r="K94" s="18"/>
      <c r="L94" s="18"/>
      <c r="M94" s="18"/>
      <c r="N94" s="30"/>
      <c r="W94" s="18"/>
      <c r="X94" s="18"/>
      <c r="Y94" s="18"/>
    </row>
    <row r="95" spans="1:26" x14ac:dyDescent="0.2">
      <c r="A95" s="9" t="s">
        <v>176</v>
      </c>
      <c r="B95" s="9" t="s">
        <v>176</v>
      </c>
      <c r="C95" s="9">
        <f t="shared" ref="C95:N95" si="13">SUM(C81:C94)</f>
        <v>43.75</v>
      </c>
      <c r="D95" s="9">
        <f>SUM(D81:D94)</f>
        <v>7667</v>
      </c>
      <c r="E95" s="9">
        <f>SUM(E81:E94)</f>
        <v>5416</v>
      </c>
      <c r="F95" s="9">
        <f t="shared" si="13"/>
        <v>13126.75</v>
      </c>
      <c r="G95" s="9">
        <v>0</v>
      </c>
      <c r="H95" s="9">
        <v>33</v>
      </c>
      <c r="I95" s="9">
        <v>62</v>
      </c>
      <c r="J95" s="9">
        <f t="shared" si="13"/>
        <v>43.75</v>
      </c>
      <c r="K95" s="9">
        <f t="shared" si="13"/>
        <v>3338</v>
      </c>
      <c r="L95" s="9">
        <f t="shared" si="13"/>
        <v>2313</v>
      </c>
      <c r="M95" s="9">
        <f t="shared" si="13"/>
        <v>5694.75</v>
      </c>
      <c r="N95" s="9">
        <f t="shared" si="13"/>
        <v>-338843.7066944465</v>
      </c>
      <c r="W95" s="9"/>
      <c r="X95" s="9"/>
      <c r="Y95" s="9"/>
      <c r="Z95" s="9"/>
    </row>
    <row r="96" spans="1:26" x14ac:dyDescent="0.2">
      <c r="A96" s="18"/>
      <c r="B96" s="19"/>
      <c r="C96" s="18"/>
      <c r="D96" s="18"/>
      <c r="E96" s="18"/>
      <c r="F96" s="18"/>
      <c r="G96" s="18"/>
      <c r="H96" s="18"/>
      <c r="I96" s="18"/>
      <c r="J96" s="18"/>
      <c r="K96" s="18"/>
      <c r="L96" s="18"/>
      <c r="M96" s="18"/>
      <c r="N96" s="30"/>
      <c r="W96" s="18"/>
      <c r="X96" s="18"/>
      <c r="Y96" s="18"/>
      <c r="Z96" s="30"/>
    </row>
    <row r="97" spans="1:26" x14ac:dyDescent="0.2">
      <c r="A97" s="9" t="s">
        <v>177</v>
      </c>
      <c r="B97" s="9" t="s">
        <v>178</v>
      </c>
      <c r="C97" s="9">
        <f t="shared" ref="C97:N97" si="14">SUM(C95,C79)</f>
        <v>21169.75</v>
      </c>
      <c r="D97" s="9">
        <f t="shared" si="14"/>
        <v>7667</v>
      </c>
      <c r="E97" s="9">
        <f t="shared" si="14"/>
        <v>5416</v>
      </c>
      <c r="F97" s="9">
        <f>SUM(F95,F79)</f>
        <v>34252.75</v>
      </c>
      <c r="G97" s="9">
        <v>127</v>
      </c>
      <c r="H97" s="9">
        <v>33</v>
      </c>
      <c r="I97" s="9">
        <v>62</v>
      </c>
      <c r="J97" s="9">
        <f t="shared" si="14"/>
        <v>19743.75</v>
      </c>
      <c r="K97" s="9">
        <f t="shared" si="14"/>
        <v>3338</v>
      </c>
      <c r="L97" s="9">
        <f t="shared" si="14"/>
        <v>2313</v>
      </c>
      <c r="M97" s="9">
        <f t="shared" si="14"/>
        <v>25394.75</v>
      </c>
      <c r="N97" s="9">
        <f t="shared" si="14"/>
        <v>-1777207.9446173818</v>
      </c>
      <c r="W97" s="9"/>
      <c r="X97" s="9"/>
      <c r="Y97" s="9"/>
      <c r="Z97" s="9"/>
    </row>
    <row r="98" spans="1:26" x14ac:dyDescent="0.2">
      <c r="A98" s="586" t="s">
        <v>867</v>
      </c>
      <c r="B98" s="646">
        <v>12345</v>
      </c>
      <c r="C98" s="9"/>
      <c r="D98" s="9"/>
      <c r="E98" s="9"/>
      <c r="F98" s="9"/>
      <c r="G98" s="9"/>
      <c r="H98" s="9"/>
      <c r="I98" s="9"/>
      <c r="J98" s="9"/>
      <c r="K98" s="9"/>
      <c r="L98" s="9"/>
      <c r="M98" s="9"/>
      <c r="N98" s="9"/>
    </row>
  </sheetData>
  <sheetProtection password="EF5C" sheet="1" objects="1" scenarios="1" selectLockedCells="1" selectUnlockedCells="1"/>
  <mergeCells count="7">
    <mergeCell ref="N4:O4"/>
    <mergeCell ref="W4:X4"/>
    <mergeCell ref="C1:C2"/>
    <mergeCell ref="N2:O2"/>
    <mergeCell ref="W2:X2"/>
    <mergeCell ref="N3:O3"/>
    <mergeCell ref="W3:X3"/>
  </mergeCell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01"/>
  <sheetViews>
    <sheetView zoomScale="80" zoomScaleNormal="80" workbookViewId="0">
      <pane xSplit="4" ySplit="5" topLeftCell="AX25" activePane="bottomRight" state="frozen"/>
      <selection activeCell="B61" sqref="B61"/>
      <selection pane="topRight" activeCell="B61" sqref="B61"/>
      <selection pane="bottomLeft" activeCell="B61" sqref="B61"/>
      <selection pane="bottomRight" activeCell="BI56" sqref="BI56"/>
    </sheetView>
  </sheetViews>
  <sheetFormatPr defaultRowHeight="12.75" x14ac:dyDescent="0.2"/>
  <cols>
    <col min="1" max="1" width="58.140625" style="332" bestFit="1" customWidth="1"/>
    <col min="2" max="2" width="11.42578125" style="324" bestFit="1" customWidth="1"/>
    <col min="3" max="3" width="10.85546875" style="324" customWidth="1"/>
    <col min="4" max="4" width="15.7109375" style="324" customWidth="1"/>
    <col min="5" max="5" width="12.28515625" style="325" customWidth="1"/>
    <col min="6" max="6" width="11.42578125" style="325" customWidth="1"/>
    <col min="7" max="7" width="12.42578125" style="326" customWidth="1"/>
    <col min="8" max="8" width="11.42578125" style="325" customWidth="1"/>
    <col min="9" max="10" width="12.42578125" style="325" customWidth="1"/>
    <col min="11" max="11" width="14.42578125" style="325" customWidth="1"/>
    <col min="12" max="12" width="17.5703125" style="326" customWidth="1"/>
    <col min="13" max="13" width="0.85546875" style="325" customWidth="1"/>
    <col min="14" max="14" width="13.85546875" style="325" customWidth="1"/>
    <col min="15" max="15" width="10.85546875" style="325" customWidth="1"/>
    <col min="16" max="16" width="13.140625" style="326" customWidth="1"/>
    <col min="17" max="17" width="0.85546875" style="325" customWidth="1"/>
    <col min="18" max="18" width="12.5703125" style="325" customWidth="1"/>
    <col min="19" max="19" width="10.42578125" style="325" customWidth="1"/>
    <col min="20" max="20" width="15.28515625" style="327" customWidth="1"/>
    <col min="21" max="21" width="0.85546875" style="324" customWidth="1"/>
    <col min="22" max="22" width="13.7109375" style="328" customWidth="1"/>
    <col min="23" max="23" width="0.85546875" style="324" customWidth="1"/>
    <col min="24" max="24" width="13.7109375" style="328" customWidth="1"/>
    <col min="25" max="25" width="0.85546875" style="324" customWidth="1"/>
    <col min="26" max="26" width="13.7109375" style="328" customWidth="1"/>
    <col min="27" max="27" width="0.85546875" style="324" customWidth="1"/>
    <col min="28" max="29" width="9.140625" style="644" customWidth="1"/>
    <col min="30" max="30" width="11.28515625" style="329" customWidth="1"/>
    <col min="31" max="31" width="0.85546875" style="324" customWidth="1"/>
    <col min="32" max="33" width="9.140625" style="644" customWidth="1"/>
    <col min="34" max="34" width="11.28515625" style="329" customWidth="1"/>
    <col min="35" max="35" width="0.85546875" style="324" customWidth="1"/>
    <col min="36" max="36" width="22.42578125" style="326" customWidth="1"/>
    <col min="37" max="37" width="5.5703125" style="324" customWidth="1"/>
    <col min="38" max="38" width="14.42578125" style="668" customWidth="1"/>
    <col min="39" max="39" width="14.140625" style="668" customWidth="1"/>
    <col min="40" max="40" width="13.5703125" style="668" customWidth="1"/>
    <col min="41" max="41" width="14.85546875" style="324" customWidth="1"/>
    <col min="42" max="42" width="14.28515625" style="324" customWidth="1"/>
    <col min="43" max="43" width="10.42578125" style="324" customWidth="1"/>
    <col min="44" max="44" width="22.140625" style="324" customWidth="1"/>
    <col min="45" max="45" width="16.140625" style="324" customWidth="1"/>
    <col min="46" max="46" width="14.5703125" style="668" customWidth="1"/>
    <col min="47" max="47" width="12.42578125" style="324" customWidth="1"/>
    <col min="48" max="48" width="13.42578125" style="324" customWidth="1"/>
    <col min="49" max="49" width="12.140625" style="324" customWidth="1"/>
    <col min="50" max="50" width="12.85546875" style="324" customWidth="1"/>
    <col min="51" max="52" width="13.5703125" style="324" customWidth="1"/>
    <col min="53" max="55" width="9.140625" style="324" customWidth="1"/>
    <col min="56" max="57" width="12.5703125" style="324" customWidth="1"/>
    <col min="58" max="58" width="11.5703125" style="324" customWidth="1"/>
    <col min="59" max="60" width="15.140625" style="678" bestFit="1" customWidth="1"/>
    <col min="61" max="61" width="15.85546875" style="678" bestFit="1" customWidth="1"/>
    <col min="62" max="62" width="15.140625" style="324" bestFit="1" customWidth="1"/>
    <col min="63" max="16384" width="9.140625" style="324"/>
  </cols>
  <sheetData>
    <row r="1" spans="1:61" x14ac:dyDescent="0.2">
      <c r="A1" s="323" t="s">
        <v>1080</v>
      </c>
    </row>
    <row r="2" spans="1:61" x14ac:dyDescent="0.2">
      <c r="V2" s="333" t="s">
        <v>463</v>
      </c>
      <c r="W2" s="334"/>
      <c r="X2" s="335"/>
      <c r="Y2" s="334"/>
      <c r="Z2" s="336"/>
    </row>
    <row r="3" spans="1:61" s="337" customFormat="1" x14ac:dyDescent="0.2">
      <c r="A3" s="323" t="s">
        <v>464</v>
      </c>
      <c r="D3" s="338"/>
      <c r="E3" s="339" t="s">
        <v>465</v>
      </c>
      <c r="F3" s="339"/>
      <c r="G3" s="340"/>
      <c r="H3" s="339"/>
      <c r="I3" s="339"/>
      <c r="J3" s="339"/>
      <c r="K3" s="339"/>
      <c r="L3" s="340"/>
      <c r="M3" s="341"/>
      <c r="N3" s="342" t="s">
        <v>466</v>
      </c>
      <c r="O3" s="342"/>
      <c r="P3" s="343"/>
      <c r="Q3" s="341"/>
      <c r="R3" s="342" t="s">
        <v>467</v>
      </c>
      <c r="S3" s="342"/>
      <c r="T3" s="344"/>
      <c r="U3" s="345"/>
      <c r="V3" s="346" t="s">
        <v>286</v>
      </c>
      <c r="W3" s="345"/>
      <c r="X3" s="346" t="s">
        <v>468</v>
      </c>
      <c r="Y3" s="345"/>
      <c r="Z3" s="346" t="s">
        <v>469</v>
      </c>
      <c r="AA3" s="345"/>
      <c r="AB3" s="347" t="s">
        <v>470</v>
      </c>
      <c r="AC3" s="347"/>
      <c r="AD3" s="348"/>
      <c r="AE3" s="345"/>
      <c r="AF3" s="347" t="s">
        <v>359</v>
      </c>
      <c r="AG3" s="347"/>
      <c r="AH3" s="348"/>
      <c r="AI3" s="345"/>
      <c r="AJ3" s="349" t="s">
        <v>471</v>
      </c>
      <c r="AK3" s="669"/>
      <c r="AL3" s="670"/>
      <c r="AM3" s="670"/>
      <c r="AN3" s="670"/>
      <c r="AT3" s="670"/>
      <c r="BG3" s="580"/>
      <c r="BH3" s="580"/>
      <c r="BI3" s="580"/>
    </row>
    <row r="4" spans="1:61" x14ac:dyDescent="0.2">
      <c r="D4" s="353"/>
      <c r="E4" s="354"/>
      <c r="F4" s="354"/>
      <c r="G4" s="355"/>
      <c r="H4" s="354"/>
      <c r="I4" s="354"/>
      <c r="J4" s="354"/>
      <c r="K4" s="354"/>
      <c r="L4" s="355"/>
      <c r="M4" s="356"/>
      <c r="N4" s="354"/>
      <c r="O4" s="354"/>
      <c r="P4" s="355"/>
      <c r="Q4" s="356"/>
      <c r="R4" s="354"/>
      <c r="S4" s="354"/>
      <c r="T4" s="357"/>
      <c r="U4" s="358"/>
      <c r="V4" s="359"/>
      <c r="W4" s="358"/>
      <c r="X4" s="359"/>
      <c r="Y4" s="358"/>
      <c r="Z4" s="359"/>
      <c r="AA4" s="358"/>
      <c r="AB4" s="360"/>
      <c r="AC4" s="360"/>
      <c r="AD4" s="361"/>
      <c r="AE4" s="358"/>
      <c r="AF4" s="360"/>
      <c r="AG4" s="360"/>
      <c r="AH4" s="361"/>
      <c r="AI4" s="358"/>
      <c r="AJ4" s="355"/>
      <c r="AK4" s="671"/>
    </row>
    <row r="5" spans="1:61" s="374" customFormat="1" ht="51" x14ac:dyDescent="0.2">
      <c r="A5" s="363" t="s">
        <v>472</v>
      </c>
      <c r="B5" s="363" t="s">
        <v>473</v>
      </c>
      <c r="C5" s="363" t="s">
        <v>474</v>
      </c>
      <c r="D5" s="364"/>
      <c r="E5" s="363" t="s">
        <v>475</v>
      </c>
      <c r="F5" s="363" t="s">
        <v>476</v>
      </c>
      <c r="G5" s="366" t="s">
        <v>480</v>
      </c>
      <c r="H5" s="363" t="s">
        <v>481</v>
      </c>
      <c r="I5" s="363" t="s">
        <v>482</v>
      </c>
      <c r="J5" s="363" t="s">
        <v>483</v>
      </c>
      <c r="K5" s="367" t="s">
        <v>484</v>
      </c>
      <c r="L5" s="368" t="s">
        <v>485</v>
      </c>
      <c r="M5" s="364"/>
      <c r="N5" s="363" t="s">
        <v>486</v>
      </c>
      <c r="O5" s="363" t="s">
        <v>487</v>
      </c>
      <c r="P5" s="368" t="s">
        <v>488</v>
      </c>
      <c r="Q5" s="364"/>
      <c r="R5" s="363" t="s">
        <v>489</v>
      </c>
      <c r="S5" s="363" t="s">
        <v>487</v>
      </c>
      <c r="T5" s="369" t="s">
        <v>490</v>
      </c>
      <c r="U5" s="364"/>
      <c r="V5" s="370" t="s">
        <v>491</v>
      </c>
      <c r="W5" s="364"/>
      <c r="X5" s="370" t="s">
        <v>492</v>
      </c>
      <c r="Y5" s="364"/>
      <c r="Z5" s="370" t="s">
        <v>493</v>
      </c>
      <c r="AA5" s="364"/>
      <c r="AB5" s="363" t="s">
        <v>494</v>
      </c>
      <c r="AC5" s="363" t="s">
        <v>495</v>
      </c>
      <c r="AD5" s="368" t="s">
        <v>496</v>
      </c>
      <c r="AE5" s="364"/>
      <c r="AF5" s="363" t="s">
        <v>497</v>
      </c>
      <c r="AG5" s="363" t="s">
        <v>487</v>
      </c>
      <c r="AH5" s="368" t="s">
        <v>498</v>
      </c>
      <c r="AI5" s="364"/>
      <c r="AJ5" s="368" t="s">
        <v>499</v>
      </c>
      <c r="AK5" s="672"/>
      <c r="AL5" s="673"/>
      <c r="AM5" s="372"/>
      <c r="AN5" s="372"/>
      <c r="AO5" s="373" t="s">
        <v>914</v>
      </c>
      <c r="AP5" s="373" t="s">
        <v>915</v>
      </c>
      <c r="AQ5" s="373" t="s">
        <v>134</v>
      </c>
      <c r="AR5" s="374" t="s">
        <v>916</v>
      </c>
      <c r="AS5" s="374" t="s">
        <v>917</v>
      </c>
      <c r="AT5" s="674"/>
      <c r="AU5" s="374" t="s">
        <v>223</v>
      </c>
      <c r="AV5" s="374" t="s">
        <v>279</v>
      </c>
      <c r="AW5" s="374" t="s">
        <v>918</v>
      </c>
      <c r="AX5" s="374" t="s">
        <v>919</v>
      </c>
      <c r="AY5" s="374" t="s">
        <v>920</v>
      </c>
      <c r="AZ5" s="374" t="s">
        <v>921</v>
      </c>
      <c r="BA5" s="673" t="s">
        <v>922</v>
      </c>
      <c r="BD5" s="374" t="s">
        <v>923</v>
      </c>
      <c r="BE5" s="374" t="s">
        <v>924</v>
      </c>
      <c r="BG5" s="1164" t="s">
        <v>1133</v>
      </c>
      <c r="BH5" s="1164" t="s">
        <v>1134</v>
      </c>
      <c r="BI5" s="1164" t="s">
        <v>500</v>
      </c>
    </row>
    <row r="6" spans="1:61" x14ac:dyDescent="0.2">
      <c r="A6" s="375"/>
      <c r="B6" s="332"/>
      <c r="C6" s="332"/>
      <c r="D6" s="376"/>
      <c r="E6" s="377"/>
      <c r="F6" s="378"/>
      <c r="G6" s="379"/>
      <c r="H6" s="377"/>
      <c r="I6" s="377"/>
      <c r="J6" s="377"/>
      <c r="K6" s="377"/>
      <c r="L6" s="379"/>
      <c r="M6" s="380"/>
      <c r="N6" s="377"/>
      <c r="O6" s="377"/>
      <c r="P6" s="379"/>
      <c r="Q6" s="380"/>
      <c r="R6" s="377"/>
      <c r="S6" s="377"/>
      <c r="T6" s="381"/>
      <c r="U6" s="376"/>
      <c r="V6" s="382"/>
      <c r="W6" s="376"/>
      <c r="X6" s="383"/>
      <c r="Y6" s="376"/>
      <c r="Z6" s="383"/>
      <c r="AA6" s="376"/>
      <c r="AB6" s="377"/>
      <c r="AC6" s="377"/>
      <c r="AD6" s="379"/>
      <c r="AE6" s="376"/>
      <c r="AF6" s="377"/>
      <c r="AG6" s="377"/>
      <c r="AH6" s="379"/>
      <c r="AI6" s="376"/>
      <c r="AJ6" s="384"/>
      <c r="AK6" s="675"/>
      <c r="AN6" s="330"/>
      <c r="AO6" s="331"/>
      <c r="AP6" s="331"/>
      <c r="AQ6" s="331"/>
      <c r="BA6" s="668"/>
    </row>
    <row r="7" spans="1:61" ht="15" x14ac:dyDescent="0.25">
      <c r="A7" s="375" t="s">
        <v>45</v>
      </c>
      <c r="B7" s="332" t="s">
        <v>503</v>
      </c>
      <c r="C7" s="332">
        <v>2443</v>
      </c>
      <c r="D7" s="376"/>
      <c r="E7" s="386">
        <v>988</v>
      </c>
      <c r="F7" s="387">
        <v>29640</v>
      </c>
      <c r="G7" s="388">
        <v>26880</v>
      </c>
      <c r="H7" s="389">
        <v>2760</v>
      </c>
      <c r="I7" s="389">
        <v>26880</v>
      </c>
      <c r="J7" s="389" t="s">
        <v>504</v>
      </c>
      <c r="K7" s="389">
        <v>3.5636999999999999</v>
      </c>
      <c r="L7" s="390">
        <v>95792</v>
      </c>
      <c r="M7" s="380"/>
      <c r="N7" s="391">
        <v>862.8947368421052</v>
      </c>
      <c r="O7" s="389">
        <v>0.2036</v>
      </c>
      <c r="P7" s="390">
        <v>6676.0439999999999</v>
      </c>
      <c r="Q7" s="380"/>
      <c r="R7" s="392">
        <v>4.7368421052631575</v>
      </c>
      <c r="S7" s="389">
        <v>1.7611399999999999</v>
      </c>
      <c r="T7" s="393">
        <v>317.00519999999995</v>
      </c>
      <c r="U7" s="376"/>
      <c r="V7" s="394"/>
      <c r="W7" s="395"/>
      <c r="X7" s="396"/>
      <c r="Y7" s="395"/>
      <c r="Z7" s="397"/>
      <c r="AA7" s="376"/>
      <c r="AB7" s="398"/>
      <c r="AC7" s="399"/>
      <c r="AD7" s="400">
        <v>0</v>
      </c>
      <c r="AE7" s="376"/>
      <c r="AF7" s="392">
        <v>34.736842105263158</v>
      </c>
      <c r="AG7" s="389">
        <v>0.2036</v>
      </c>
      <c r="AH7" s="390">
        <v>268.75200000000001</v>
      </c>
      <c r="AI7" s="376"/>
      <c r="AJ7" s="401">
        <v>103053.8012</v>
      </c>
      <c r="AK7" s="675"/>
      <c r="AL7" s="670"/>
      <c r="AM7" s="670"/>
      <c r="AN7" s="330"/>
      <c r="AO7" s="397" t="s">
        <v>925</v>
      </c>
      <c r="AP7" s="394" t="s">
        <v>925</v>
      </c>
      <c r="AQ7" s="330">
        <v>0</v>
      </c>
      <c r="AR7" s="330">
        <v>0</v>
      </c>
      <c r="AS7" s="330">
        <v>-7969</v>
      </c>
      <c r="AU7" s="330">
        <v>1382.5791721749026</v>
      </c>
      <c r="AV7" s="330">
        <v>-1382.5791721749026</v>
      </c>
      <c r="AW7" s="676">
        <v>0</v>
      </c>
      <c r="AX7" s="668">
        <v>95084.801200000002</v>
      </c>
      <c r="AY7" s="668">
        <v>98367.517399999997</v>
      </c>
      <c r="AZ7" s="668">
        <v>-3282.7161999999953</v>
      </c>
      <c r="BA7" s="677">
        <v>1288.7818651606442</v>
      </c>
      <c r="BD7" s="668">
        <v>95084.801200000002</v>
      </c>
      <c r="BE7" s="668">
        <v>0</v>
      </c>
      <c r="BG7" s="678">
        <v>106336.3504</v>
      </c>
      <c r="BH7" s="678">
        <v>103053.8012</v>
      </c>
      <c r="BI7" s="678">
        <v>-3282.549199999994</v>
      </c>
    </row>
    <row r="8" spans="1:61" ht="15" x14ac:dyDescent="0.25">
      <c r="A8" s="375" t="s">
        <v>47</v>
      </c>
      <c r="B8" s="332" t="s">
        <v>505</v>
      </c>
      <c r="C8" s="332">
        <v>2629</v>
      </c>
      <c r="D8" s="376"/>
      <c r="E8" s="403">
        <v>1482</v>
      </c>
      <c r="F8" s="387">
        <v>44460</v>
      </c>
      <c r="G8" s="388">
        <v>43230</v>
      </c>
      <c r="H8" s="387">
        <v>1230</v>
      </c>
      <c r="I8" s="387">
        <v>43230</v>
      </c>
      <c r="J8" s="387" t="s">
        <v>504</v>
      </c>
      <c r="K8" s="389">
        <v>3.5636999999999999</v>
      </c>
      <c r="L8" s="404">
        <v>154059</v>
      </c>
      <c r="M8" s="380"/>
      <c r="N8" s="391">
        <v>3345</v>
      </c>
      <c r="O8" s="387">
        <v>0.2036</v>
      </c>
      <c r="P8" s="404">
        <v>25879.596000000001</v>
      </c>
      <c r="Q8" s="380"/>
      <c r="R8" s="392">
        <v>14.210526315789474</v>
      </c>
      <c r="S8" s="387">
        <v>1.7611399999999999</v>
      </c>
      <c r="T8" s="405">
        <v>951.01560000000006</v>
      </c>
      <c r="U8" s="376"/>
      <c r="V8" s="394"/>
      <c r="W8" s="395"/>
      <c r="X8" s="406"/>
      <c r="Y8" s="395"/>
      <c r="Z8" s="407"/>
      <c r="AA8" s="376"/>
      <c r="AB8" s="408"/>
      <c r="AC8" s="409"/>
      <c r="AD8" s="410">
        <v>0</v>
      </c>
      <c r="AE8" s="376"/>
      <c r="AF8" s="392">
        <v>896.84210526315792</v>
      </c>
      <c r="AG8" s="387">
        <v>0.2036</v>
      </c>
      <c r="AH8" s="404">
        <v>6938.6880000000001</v>
      </c>
      <c r="AI8" s="376"/>
      <c r="AJ8" s="411">
        <v>187828.2996</v>
      </c>
      <c r="AK8" s="675"/>
      <c r="AL8" s="670"/>
      <c r="AM8" s="670"/>
      <c r="AN8" s="330"/>
      <c r="AO8" s="407" t="s">
        <v>925</v>
      </c>
      <c r="AP8" s="394" t="s">
        <v>925</v>
      </c>
      <c r="AQ8" s="330">
        <v>0</v>
      </c>
      <c r="AR8" s="330">
        <v>0</v>
      </c>
      <c r="AS8" s="330">
        <v>-2375</v>
      </c>
      <c r="AU8" s="330">
        <v>2123.9622065295603</v>
      </c>
      <c r="AV8" s="330">
        <v>-2123.9622065295603</v>
      </c>
      <c r="AW8" s="676">
        <v>0</v>
      </c>
      <c r="AX8" s="668">
        <v>185453.2996</v>
      </c>
      <c r="AY8" s="668">
        <v>177314.95540000001</v>
      </c>
      <c r="AZ8" s="668">
        <v>8138.3441999999923</v>
      </c>
      <c r="BA8" s="677">
        <v>1788.1351674890748</v>
      </c>
      <c r="BD8" s="668">
        <v>185453.2996</v>
      </c>
      <c r="BE8" s="668">
        <v>0</v>
      </c>
      <c r="BG8" s="678">
        <v>179689.5974</v>
      </c>
      <c r="BH8" s="678">
        <v>187828.2996</v>
      </c>
      <c r="BI8" s="678">
        <v>8138.7021999999997</v>
      </c>
    </row>
    <row r="9" spans="1:61" ht="15" x14ac:dyDescent="0.25">
      <c r="A9" s="375" t="s">
        <v>36</v>
      </c>
      <c r="B9" s="332" t="s">
        <v>506</v>
      </c>
      <c r="C9" s="332">
        <v>1014</v>
      </c>
      <c r="D9" s="376"/>
      <c r="E9" s="403">
        <v>1520</v>
      </c>
      <c r="F9" s="387">
        <v>45600</v>
      </c>
      <c r="G9" s="388">
        <v>31182</v>
      </c>
      <c r="H9" s="387">
        <v>14418</v>
      </c>
      <c r="I9" s="387">
        <v>31182</v>
      </c>
      <c r="J9" s="387" t="s">
        <v>507</v>
      </c>
      <c r="K9" s="324">
        <v>5.5246000000000004</v>
      </c>
      <c r="L9" s="404">
        <v>172268</v>
      </c>
      <c r="M9" s="380"/>
      <c r="N9" s="391">
        <v>1099.1052631578948</v>
      </c>
      <c r="O9" s="387">
        <v>0.2036</v>
      </c>
      <c r="P9" s="404">
        <v>8503.5576000000001</v>
      </c>
      <c r="Q9" s="380"/>
      <c r="R9" s="392">
        <v>39.473684210526315</v>
      </c>
      <c r="S9" s="387">
        <v>1.7611399999999999</v>
      </c>
      <c r="T9" s="405">
        <v>2641.71</v>
      </c>
      <c r="U9" s="376"/>
      <c r="V9" s="394"/>
      <c r="W9" s="395"/>
      <c r="X9" s="406"/>
      <c r="Y9" s="395"/>
      <c r="Z9" s="407"/>
      <c r="AA9" s="376"/>
      <c r="AB9" s="408">
        <v>1</v>
      </c>
      <c r="AC9" s="409">
        <v>100000</v>
      </c>
      <c r="AD9" s="410">
        <v>100000</v>
      </c>
      <c r="AE9" s="376"/>
      <c r="AF9" s="392">
        <v>143.68421052631578</v>
      </c>
      <c r="AG9" s="387">
        <v>0.2036</v>
      </c>
      <c r="AH9" s="404">
        <v>1111.6559999999999</v>
      </c>
      <c r="AI9" s="376"/>
      <c r="AJ9" s="411">
        <v>284524.92359999998</v>
      </c>
      <c r="AK9" s="675"/>
      <c r="AL9" s="670"/>
      <c r="AM9" s="670"/>
      <c r="AN9" s="330"/>
      <c r="AO9" s="407">
        <v>0</v>
      </c>
      <c r="AP9" s="394">
        <v>0</v>
      </c>
      <c r="AQ9" s="330">
        <v>6809.9443200000005</v>
      </c>
      <c r="AR9" s="330">
        <v>0</v>
      </c>
      <c r="AS9" s="330">
        <v>-13842</v>
      </c>
      <c r="AU9" s="330">
        <v>1558.2915753275656</v>
      </c>
      <c r="AV9" s="330">
        <v>-1558.2915753275656</v>
      </c>
      <c r="AW9" s="676">
        <v>0</v>
      </c>
      <c r="AX9" s="668">
        <v>277492.86791999999</v>
      </c>
      <c r="AY9" s="668">
        <v>274332.22612000006</v>
      </c>
      <c r="AZ9" s="668">
        <v>3160.6417999999248</v>
      </c>
      <c r="BA9" s="677">
        <v>1399.5137910881158</v>
      </c>
      <c r="BD9" s="668">
        <v>277492.86791999999</v>
      </c>
      <c r="BE9" s="668">
        <v>0</v>
      </c>
      <c r="BG9" s="678">
        <v>281364.16379999998</v>
      </c>
      <c r="BH9" s="678">
        <v>284524.92359999998</v>
      </c>
      <c r="BI9" s="678">
        <v>3160.7597999999998</v>
      </c>
    </row>
    <row r="10" spans="1:61" ht="15" x14ac:dyDescent="0.25">
      <c r="A10" s="375" t="s">
        <v>50</v>
      </c>
      <c r="B10" s="332" t="s">
        <v>508</v>
      </c>
      <c r="C10" s="332">
        <v>2464</v>
      </c>
      <c r="D10" s="376"/>
      <c r="E10" s="403">
        <v>988</v>
      </c>
      <c r="F10" s="387">
        <v>29640</v>
      </c>
      <c r="G10" s="388">
        <v>24612</v>
      </c>
      <c r="H10" s="387">
        <v>5028</v>
      </c>
      <c r="I10" s="387">
        <v>24612</v>
      </c>
      <c r="J10" s="387" t="s">
        <v>504</v>
      </c>
      <c r="K10" s="389">
        <v>3.5636999999999999</v>
      </c>
      <c r="L10" s="404">
        <v>87710</v>
      </c>
      <c r="M10" s="380"/>
      <c r="N10" s="391">
        <v>360.78947368421052</v>
      </c>
      <c r="O10" s="387">
        <v>0.2036</v>
      </c>
      <c r="P10" s="404">
        <v>2791.3559999999998</v>
      </c>
      <c r="Q10" s="380"/>
      <c r="R10" s="392">
        <v>19.736842105263158</v>
      </c>
      <c r="S10" s="387">
        <v>1.7611399999999999</v>
      </c>
      <c r="T10" s="405">
        <v>1320.855</v>
      </c>
      <c r="U10" s="376"/>
      <c r="V10" s="394"/>
      <c r="W10" s="395"/>
      <c r="X10" s="406"/>
      <c r="Y10" s="395"/>
      <c r="Z10" s="407"/>
      <c r="AA10" s="376"/>
      <c r="AB10" s="408"/>
      <c r="AC10" s="409"/>
      <c r="AD10" s="410">
        <v>0</v>
      </c>
      <c r="AE10" s="376"/>
      <c r="AF10" s="392">
        <v>0</v>
      </c>
      <c r="AG10" s="387">
        <v>0.2036</v>
      </c>
      <c r="AH10" s="404">
        <v>0</v>
      </c>
      <c r="AI10" s="376"/>
      <c r="AJ10" s="411">
        <v>91822.210999999996</v>
      </c>
      <c r="AK10" s="675"/>
      <c r="AL10" s="670"/>
      <c r="AM10" s="670"/>
      <c r="AN10" s="330"/>
      <c r="AO10" s="407" t="s">
        <v>925</v>
      </c>
      <c r="AP10" s="394" t="s">
        <v>925</v>
      </c>
      <c r="AQ10" s="330">
        <v>0</v>
      </c>
      <c r="AR10" s="330">
        <v>0</v>
      </c>
      <c r="AS10" s="330">
        <v>1464</v>
      </c>
      <c r="AU10" s="330">
        <v>1261.4300942117504</v>
      </c>
      <c r="AV10" s="330">
        <v>-1261.4300942117504</v>
      </c>
      <c r="AW10" s="676">
        <v>0</v>
      </c>
      <c r="AX10" s="668">
        <v>93286.210999999996</v>
      </c>
      <c r="AY10" s="668">
        <v>91722</v>
      </c>
      <c r="AZ10" s="668">
        <v>1564.2109999999957</v>
      </c>
      <c r="BA10" s="677">
        <v>1080.8283679045076</v>
      </c>
      <c r="BD10" s="668">
        <v>93286.210999999996</v>
      </c>
      <c r="BE10" s="668">
        <v>0</v>
      </c>
      <c r="BG10" s="678">
        <v>90258.037599999996</v>
      </c>
      <c r="BH10" s="678">
        <v>91822.210999999996</v>
      </c>
      <c r="BI10" s="678">
        <v>1564.1733999999997</v>
      </c>
    </row>
    <row r="11" spans="1:61" ht="15" x14ac:dyDescent="0.25">
      <c r="A11" s="375" t="s">
        <v>51</v>
      </c>
      <c r="B11" s="332" t="s">
        <v>509</v>
      </c>
      <c r="C11" s="332">
        <v>2004</v>
      </c>
      <c r="D11" s="376"/>
      <c r="E11" s="403">
        <v>1976</v>
      </c>
      <c r="F11" s="387">
        <v>59280</v>
      </c>
      <c r="G11" s="388">
        <v>24810</v>
      </c>
      <c r="H11" s="387">
        <v>34470</v>
      </c>
      <c r="I11" s="387">
        <v>24810</v>
      </c>
      <c r="J11" s="387" t="s">
        <v>504</v>
      </c>
      <c r="K11" s="389">
        <v>3.5636999999999999</v>
      </c>
      <c r="L11" s="404">
        <v>88415</v>
      </c>
      <c r="M11" s="380"/>
      <c r="N11" s="391">
        <v>1543.421052631579</v>
      </c>
      <c r="O11" s="387">
        <v>0.2036</v>
      </c>
      <c r="P11" s="404">
        <v>11941.140000000001</v>
      </c>
      <c r="Q11" s="380"/>
      <c r="R11" s="392">
        <v>39.473684210526315</v>
      </c>
      <c r="S11" s="387">
        <v>1.7611399999999999</v>
      </c>
      <c r="T11" s="405">
        <v>2641.71</v>
      </c>
      <c r="U11" s="376"/>
      <c r="V11" s="394"/>
      <c r="W11" s="395"/>
      <c r="X11" s="406"/>
      <c r="Y11" s="395"/>
      <c r="Z11" s="407"/>
      <c r="AA11" s="376"/>
      <c r="AB11" s="408"/>
      <c r="AC11" s="409"/>
      <c r="AD11" s="410">
        <v>0</v>
      </c>
      <c r="AE11" s="376"/>
      <c r="AF11" s="392">
        <v>39.473684210526315</v>
      </c>
      <c r="AG11" s="387">
        <v>0.2036</v>
      </c>
      <c r="AH11" s="404">
        <v>305.40000000000003</v>
      </c>
      <c r="AI11" s="376"/>
      <c r="AJ11" s="411">
        <v>103303.25</v>
      </c>
      <c r="AK11" s="675"/>
      <c r="AL11" s="670"/>
      <c r="AM11" s="670"/>
      <c r="AN11" s="330"/>
      <c r="AO11" s="407" t="s">
        <v>925</v>
      </c>
      <c r="AP11" s="394" t="s">
        <v>925</v>
      </c>
      <c r="AQ11" s="330">
        <v>0</v>
      </c>
      <c r="AR11" s="330">
        <v>0</v>
      </c>
      <c r="AS11" s="330">
        <v>0</v>
      </c>
      <c r="AU11" s="330">
        <v>1493.5554267976372</v>
      </c>
      <c r="AV11" s="330">
        <v>-1493.5554267976372</v>
      </c>
      <c r="AW11" s="676">
        <v>0</v>
      </c>
      <c r="AX11" s="668">
        <v>103303.25</v>
      </c>
      <c r="AY11" s="668">
        <v>123470.66399999998</v>
      </c>
      <c r="AZ11" s="668">
        <v>-20167.413999999975</v>
      </c>
      <c r="BA11" s="677">
        <v>1528.5244320610313</v>
      </c>
      <c r="BD11" s="668">
        <v>103303.25</v>
      </c>
      <c r="BE11" s="668">
        <v>0</v>
      </c>
      <c r="BG11" s="678">
        <v>123470.905</v>
      </c>
      <c r="BH11" s="678">
        <v>103303.25</v>
      </c>
      <c r="BI11" s="678">
        <v>-20167.654999999999</v>
      </c>
    </row>
    <row r="12" spans="1:61" ht="15" x14ac:dyDescent="0.25">
      <c r="A12" s="375" t="s">
        <v>52</v>
      </c>
      <c r="B12" s="332" t="s">
        <v>510</v>
      </c>
      <c r="C12" s="332">
        <v>2405</v>
      </c>
      <c r="D12" s="376"/>
      <c r="E12" s="403">
        <v>988</v>
      </c>
      <c r="F12" s="387">
        <v>29640</v>
      </c>
      <c r="G12" s="388">
        <v>25890</v>
      </c>
      <c r="H12" s="387">
        <v>3750</v>
      </c>
      <c r="I12" s="387">
        <v>25890</v>
      </c>
      <c r="J12" s="387" t="s">
        <v>504</v>
      </c>
      <c r="K12" s="389">
        <v>3.5636999999999999</v>
      </c>
      <c r="L12" s="404">
        <v>92264</v>
      </c>
      <c r="M12" s="380"/>
      <c r="N12" s="391">
        <v>1304.2105263157894</v>
      </c>
      <c r="O12" s="387">
        <v>0.2036</v>
      </c>
      <c r="P12" s="404">
        <v>10090.415999999999</v>
      </c>
      <c r="Q12" s="380"/>
      <c r="R12" s="392">
        <v>33.94736842105263</v>
      </c>
      <c r="S12" s="387">
        <v>1.7611399999999999</v>
      </c>
      <c r="T12" s="405">
        <v>2271.8705999999997</v>
      </c>
      <c r="U12" s="376"/>
      <c r="V12" s="394"/>
      <c r="W12" s="395"/>
      <c r="X12" s="406"/>
      <c r="Y12" s="395"/>
      <c r="Z12" s="407"/>
      <c r="AA12" s="376"/>
      <c r="AB12" s="408"/>
      <c r="AC12" s="409"/>
      <c r="AD12" s="410">
        <v>0</v>
      </c>
      <c r="AE12" s="376"/>
      <c r="AF12" s="392">
        <v>267.63157894736844</v>
      </c>
      <c r="AG12" s="387">
        <v>0.2036</v>
      </c>
      <c r="AH12" s="404">
        <v>2070.6120000000001</v>
      </c>
      <c r="AI12" s="376"/>
      <c r="AJ12" s="411">
        <v>106696.8986</v>
      </c>
      <c r="AK12" s="675"/>
      <c r="AL12" s="670"/>
      <c r="AM12" s="670"/>
      <c r="AN12" s="330"/>
      <c r="AO12" s="407" t="s">
        <v>925</v>
      </c>
      <c r="AP12" s="394" t="s">
        <v>925</v>
      </c>
      <c r="AQ12" s="330">
        <v>0</v>
      </c>
      <c r="AR12" s="330">
        <v>0</v>
      </c>
      <c r="AS12" s="330">
        <v>2365</v>
      </c>
      <c r="AU12" s="330">
        <v>1229.9868220686424</v>
      </c>
      <c r="AV12" s="330">
        <v>-1229.9868220686424</v>
      </c>
      <c r="AW12" s="676">
        <v>0</v>
      </c>
      <c r="AX12" s="668">
        <v>109061.8986</v>
      </c>
      <c r="AY12" s="668">
        <v>101524.3708</v>
      </c>
      <c r="AZ12" s="668">
        <v>7537.5277999999962</v>
      </c>
      <c r="BA12" s="677">
        <v>1029.1711297326008</v>
      </c>
      <c r="BD12" s="668">
        <v>109061.8986</v>
      </c>
      <c r="BE12" s="668">
        <v>0</v>
      </c>
      <c r="BG12" s="678">
        <v>99159.392800000001</v>
      </c>
      <c r="BH12" s="678">
        <v>106696.8986</v>
      </c>
      <c r="BI12" s="678">
        <v>7537.505799999999</v>
      </c>
    </row>
    <row r="13" spans="1:61" ht="15" x14ac:dyDescent="0.25">
      <c r="A13" s="375" t="s">
        <v>53</v>
      </c>
      <c r="B13" s="332" t="s">
        <v>511</v>
      </c>
      <c r="C13" s="332">
        <v>3525</v>
      </c>
      <c r="D13" s="376"/>
      <c r="E13" s="403">
        <v>1482</v>
      </c>
      <c r="F13" s="387">
        <v>44460</v>
      </c>
      <c r="G13" s="388">
        <v>19086</v>
      </c>
      <c r="H13" s="387">
        <v>25374</v>
      </c>
      <c r="I13" s="387">
        <v>19086</v>
      </c>
      <c r="J13" s="387" t="s">
        <v>504</v>
      </c>
      <c r="K13" s="389">
        <v>3.5636999999999999</v>
      </c>
      <c r="L13" s="404">
        <v>68017</v>
      </c>
      <c r="M13" s="380"/>
      <c r="N13" s="391">
        <v>615.94736842105272</v>
      </c>
      <c r="O13" s="387">
        <v>0.2036</v>
      </c>
      <c r="P13" s="404">
        <v>4765.4616000000005</v>
      </c>
      <c r="Q13" s="380"/>
      <c r="R13" s="392">
        <v>0</v>
      </c>
      <c r="S13" s="387">
        <v>1.7611399999999999</v>
      </c>
      <c r="T13" s="405">
        <v>0</v>
      </c>
      <c r="U13" s="376"/>
      <c r="V13" s="394"/>
      <c r="W13" s="395"/>
      <c r="X13" s="406"/>
      <c r="Y13" s="395"/>
      <c r="Z13" s="407"/>
      <c r="AA13" s="376"/>
      <c r="AB13" s="408"/>
      <c r="AC13" s="409"/>
      <c r="AD13" s="410">
        <v>0</v>
      </c>
      <c r="AE13" s="376"/>
      <c r="AF13" s="392">
        <v>68.526315789473685</v>
      </c>
      <c r="AG13" s="387">
        <v>0.2036</v>
      </c>
      <c r="AH13" s="404">
        <v>530.17439999999999</v>
      </c>
      <c r="AI13" s="376"/>
      <c r="AJ13" s="411">
        <v>73312.635999999999</v>
      </c>
      <c r="AK13" s="675"/>
      <c r="AL13" s="670"/>
      <c r="AM13" s="670"/>
      <c r="AN13" s="330"/>
      <c r="AO13" s="407" t="s">
        <v>925</v>
      </c>
      <c r="AP13" s="394" t="s">
        <v>925</v>
      </c>
      <c r="AQ13" s="330">
        <v>0</v>
      </c>
      <c r="AR13" s="330">
        <v>0</v>
      </c>
      <c r="AS13" s="330">
        <v>-9388</v>
      </c>
      <c r="AU13" s="330">
        <v>1180.3557748623639</v>
      </c>
      <c r="AV13" s="330">
        <v>-1180.3557748623639</v>
      </c>
      <c r="AW13" s="676">
        <v>0</v>
      </c>
      <c r="AX13" s="668">
        <v>63924.635999999999</v>
      </c>
      <c r="AY13" s="668">
        <v>79027.944199999998</v>
      </c>
      <c r="AZ13" s="668">
        <v>-15103.308199999999</v>
      </c>
      <c r="BA13" s="677">
        <v>1157.3870439644099</v>
      </c>
      <c r="BD13" s="668">
        <v>63924.635999999999</v>
      </c>
      <c r="BE13" s="668">
        <v>0</v>
      </c>
      <c r="BG13" s="678">
        <v>88415.500400000004</v>
      </c>
      <c r="BH13" s="678">
        <v>73312.635999999999</v>
      </c>
      <c r="BI13" s="678">
        <v>-15102.864400000006</v>
      </c>
    </row>
    <row r="14" spans="1:61" ht="15" x14ac:dyDescent="0.25">
      <c r="A14" s="415" t="s">
        <v>54</v>
      </c>
      <c r="B14" s="331" t="s">
        <v>512</v>
      </c>
      <c r="C14" s="331">
        <v>5201</v>
      </c>
      <c r="D14" s="376"/>
      <c r="E14" s="403">
        <v>988</v>
      </c>
      <c r="F14" s="387">
        <v>29640</v>
      </c>
      <c r="G14" s="388">
        <v>27978</v>
      </c>
      <c r="H14" s="387">
        <v>1662</v>
      </c>
      <c r="I14" s="387">
        <v>27978</v>
      </c>
      <c r="J14" s="387" t="s">
        <v>504</v>
      </c>
      <c r="K14" s="389">
        <v>3.5636999999999999</v>
      </c>
      <c r="L14" s="404">
        <v>99705</v>
      </c>
      <c r="M14" s="380"/>
      <c r="N14" s="391">
        <v>187.26315789473685</v>
      </c>
      <c r="O14" s="387">
        <v>0.2036</v>
      </c>
      <c r="P14" s="404">
        <v>1448.8176000000001</v>
      </c>
      <c r="Q14" s="380"/>
      <c r="R14" s="392">
        <v>15</v>
      </c>
      <c r="S14" s="387">
        <v>1.7611399999999999</v>
      </c>
      <c r="T14" s="405">
        <v>1003.8498</v>
      </c>
      <c r="U14" s="376"/>
      <c r="V14" s="394"/>
      <c r="W14" s="395"/>
      <c r="X14" s="406"/>
      <c r="Y14" s="395"/>
      <c r="Z14" s="407"/>
      <c r="AA14" s="376"/>
      <c r="AB14" s="408"/>
      <c r="AC14" s="409"/>
      <c r="AD14" s="410">
        <v>0</v>
      </c>
      <c r="AE14" s="376"/>
      <c r="AF14" s="392">
        <v>0</v>
      </c>
      <c r="AG14" s="387">
        <v>0.2036</v>
      </c>
      <c r="AH14" s="404">
        <v>0</v>
      </c>
      <c r="AI14" s="376"/>
      <c r="AJ14" s="411">
        <v>102157.66740000001</v>
      </c>
      <c r="AK14" s="675"/>
      <c r="AL14" s="670"/>
      <c r="AM14" s="670"/>
      <c r="AN14" s="330"/>
      <c r="AO14" s="407" t="s">
        <v>925</v>
      </c>
      <c r="AP14" s="394" t="s">
        <v>925</v>
      </c>
      <c r="AQ14" s="330">
        <v>0</v>
      </c>
      <c r="AR14" s="330">
        <v>0</v>
      </c>
      <c r="AS14" s="330">
        <v>-12455</v>
      </c>
      <c r="AU14" s="330">
        <v>1275.9186607874965</v>
      </c>
      <c r="AV14" s="330">
        <v>-1275.9186607874965</v>
      </c>
      <c r="AW14" s="676">
        <v>0</v>
      </c>
      <c r="AX14" s="668">
        <v>89702.667400000006</v>
      </c>
      <c r="AY14" s="668">
        <v>78368.187399999995</v>
      </c>
      <c r="AZ14" s="668">
        <v>11334.48000000001</v>
      </c>
      <c r="BA14" s="677">
        <v>1300.7027662772382</v>
      </c>
      <c r="BD14" s="668">
        <v>89702.667400000006</v>
      </c>
      <c r="BE14" s="668">
        <v>0</v>
      </c>
      <c r="BG14" s="678">
        <v>90823.261599999998</v>
      </c>
      <c r="BH14" s="678">
        <v>102157.66740000001</v>
      </c>
      <c r="BI14" s="678">
        <v>11334.405800000008</v>
      </c>
    </row>
    <row r="15" spans="1:61" ht="15" x14ac:dyDescent="0.25">
      <c r="A15" s="375" t="s">
        <v>1081</v>
      </c>
      <c r="B15" s="332" t="s">
        <v>513</v>
      </c>
      <c r="C15" s="332">
        <v>2007</v>
      </c>
      <c r="D15" s="376"/>
      <c r="E15" s="403">
        <v>1976</v>
      </c>
      <c r="F15" s="387">
        <v>59280</v>
      </c>
      <c r="G15" s="388">
        <v>22110</v>
      </c>
      <c r="H15" s="387">
        <v>37170</v>
      </c>
      <c r="I15" s="387">
        <v>22110</v>
      </c>
      <c r="J15" s="387" t="s">
        <v>504</v>
      </c>
      <c r="K15" s="389">
        <v>3.5636999999999999</v>
      </c>
      <c r="L15" s="404">
        <v>78793</v>
      </c>
      <c r="M15" s="380"/>
      <c r="N15" s="391">
        <v>1566.3157894736842</v>
      </c>
      <c r="O15" s="387">
        <v>0.2036</v>
      </c>
      <c r="P15" s="404">
        <v>12118.272000000001</v>
      </c>
      <c r="Q15" s="380"/>
      <c r="R15" s="392">
        <v>49.736842105263158</v>
      </c>
      <c r="S15" s="387">
        <v>1.7611399999999999</v>
      </c>
      <c r="T15" s="405">
        <v>3328.5545999999999</v>
      </c>
      <c r="U15" s="376"/>
      <c r="V15" s="394"/>
      <c r="W15" s="395"/>
      <c r="X15" s="406"/>
      <c r="Y15" s="395"/>
      <c r="Z15" s="407"/>
      <c r="AA15" s="376"/>
      <c r="AB15" s="408"/>
      <c r="AC15" s="409"/>
      <c r="AD15" s="410">
        <v>0</v>
      </c>
      <c r="AE15" s="376"/>
      <c r="AF15" s="392">
        <v>45</v>
      </c>
      <c r="AG15" s="387">
        <v>0.2036</v>
      </c>
      <c r="AH15" s="404">
        <v>348.15600000000001</v>
      </c>
      <c r="AI15" s="376"/>
      <c r="AJ15" s="411">
        <v>94587.982600000003</v>
      </c>
      <c r="AK15" s="675"/>
      <c r="AL15" s="670"/>
      <c r="AM15" s="670"/>
      <c r="AN15" s="330"/>
      <c r="AO15" s="407" t="s">
        <v>925</v>
      </c>
      <c r="AP15" s="394" t="s">
        <v>925</v>
      </c>
      <c r="AQ15" s="330">
        <v>0</v>
      </c>
      <c r="AR15" s="330">
        <v>0</v>
      </c>
      <c r="AS15" s="330">
        <v>0</v>
      </c>
      <c r="AT15" s="668" t="s">
        <v>926</v>
      </c>
      <c r="AU15" s="330">
        <v>1223.8214745896016</v>
      </c>
      <c r="AV15" s="330">
        <v>0</v>
      </c>
      <c r="AW15" s="676">
        <v>0</v>
      </c>
      <c r="AX15" s="668">
        <v>95811.8040745896</v>
      </c>
      <c r="AY15" s="668">
        <v>98547.141406189607</v>
      </c>
      <c r="AZ15" s="668">
        <v>-2735.337331600007</v>
      </c>
      <c r="BA15" s="677">
        <v>1007.978416636434</v>
      </c>
      <c r="BD15" s="668">
        <v>95811.8040745896</v>
      </c>
      <c r="BE15" s="668">
        <v>0</v>
      </c>
      <c r="BG15" s="678">
        <v>97322.985931600007</v>
      </c>
      <c r="BH15" s="678">
        <v>94587.982600000003</v>
      </c>
      <c r="BI15" s="668">
        <v>-2735.337331600007</v>
      </c>
    </row>
    <row r="16" spans="1:61" ht="15" x14ac:dyDescent="0.25">
      <c r="A16" s="375" t="s">
        <v>56</v>
      </c>
      <c r="B16" s="332" t="s">
        <v>514</v>
      </c>
      <c r="C16" s="332">
        <v>2433</v>
      </c>
      <c r="D16" s="376"/>
      <c r="E16" s="403">
        <v>988</v>
      </c>
      <c r="F16" s="387">
        <v>29640</v>
      </c>
      <c r="G16" s="388">
        <v>27045</v>
      </c>
      <c r="H16" s="387">
        <v>2595</v>
      </c>
      <c r="I16" s="387">
        <v>27045</v>
      </c>
      <c r="J16" s="387" t="s">
        <v>504</v>
      </c>
      <c r="K16" s="389">
        <v>3.5636999999999999</v>
      </c>
      <c r="L16" s="404">
        <v>96380</v>
      </c>
      <c r="M16" s="380"/>
      <c r="N16" s="391">
        <v>982.49999999999989</v>
      </c>
      <c r="O16" s="387">
        <v>0.2036</v>
      </c>
      <c r="P16" s="404">
        <v>7601.405999999999</v>
      </c>
      <c r="Q16" s="380"/>
      <c r="R16" s="392">
        <v>52.5</v>
      </c>
      <c r="S16" s="387">
        <v>1.7611399999999999</v>
      </c>
      <c r="T16" s="405">
        <v>3513.4743000000003</v>
      </c>
      <c r="U16" s="376"/>
      <c r="V16" s="394"/>
      <c r="W16" s="395"/>
      <c r="X16" s="406"/>
      <c r="Y16" s="395"/>
      <c r="Z16" s="407"/>
      <c r="AA16" s="376"/>
      <c r="AB16" s="408"/>
      <c r="AC16" s="409"/>
      <c r="AD16" s="410">
        <v>0</v>
      </c>
      <c r="AE16" s="376"/>
      <c r="AF16" s="392">
        <v>14.210526315789474</v>
      </c>
      <c r="AG16" s="387">
        <v>0.2036</v>
      </c>
      <c r="AH16" s="404">
        <v>109.944</v>
      </c>
      <c r="AI16" s="376"/>
      <c r="AJ16" s="411">
        <v>107604.82430000001</v>
      </c>
      <c r="AK16" s="675"/>
      <c r="AL16" s="670"/>
      <c r="AM16" s="670"/>
      <c r="AN16" s="330"/>
      <c r="AO16" s="407" t="s">
        <v>925</v>
      </c>
      <c r="AP16" s="394" t="s">
        <v>925</v>
      </c>
      <c r="AQ16" s="330">
        <v>0</v>
      </c>
      <c r="AR16" s="330">
        <v>0</v>
      </c>
      <c r="AS16" s="330">
        <v>7076</v>
      </c>
      <c r="AU16" s="330">
        <v>1428.8192782677086</v>
      </c>
      <c r="AV16" s="330">
        <v>-1428.8192782677086</v>
      </c>
      <c r="AW16" s="676">
        <v>0</v>
      </c>
      <c r="AX16" s="668">
        <v>114680.82430000001</v>
      </c>
      <c r="AY16" s="668">
        <v>115663.64</v>
      </c>
      <c r="AZ16" s="668">
        <v>-982.81569999999192</v>
      </c>
      <c r="BA16" s="677">
        <v>1074.4705539756574</v>
      </c>
      <c r="BD16" s="668">
        <v>114680.82430000001</v>
      </c>
      <c r="BE16" s="668">
        <v>0</v>
      </c>
      <c r="BG16" s="678">
        <v>108587.143</v>
      </c>
      <c r="BH16" s="678">
        <v>107604.82430000001</v>
      </c>
      <c r="BI16" s="678">
        <v>-982.31869999998889</v>
      </c>
    </row>
    <row r="17" spans="1:61" ht="15" x14ac:dyDescent="0.25">
      <c r="A17" s="375" t="s">
        <v>1082</v>
      </c>
      <c r="B17" s="332" t="s">
        <v>515</v>
      </c>
      <c r="C17" s="332">
        <v>2447</v>
      </c>
      <c r="D17" s="376"/>
      <c r="E17" s="403">
        <v>988</v>
      </c>
      <c r="F17" s="387">
        <v>29640</v>
      </c>
      <c r="G17" s="388">
        <v>27540</v>
      </c>
      <c r="H17" s="387">
        <v>2100</v>
      </c>
      <c r="I17" s="387">
        <v>27540</v>
      </c>
      <c r="J17" s="387" t="s">
        <v>504</v>
      </c>
      <c r="K17" s="389">
        <v>3.5636999999999999</v>
      </c>
      <c r="L17" s="404">
        <v>98144</v>
      </c>
      <c r="M17" s="380"/>
      <c r="N17" s="391">
        <v>1166.0526315789473</v>
      </c>
      <c r="O17" s="387">
        <v>0.2036</v>
      </c>
      <c r="P17" s="404">
        <v>9021.5159999999996</v>
      </c>
      <c r="Q17" s="380"/>
      <c r="R17" s="392">
        <v>10.263157894736842</v>
      </c>
      <c r="S17" s="387">
        <v>1.7611399999999999</v>
      </c>
      <c r="T17" s="405">
        <v>686.8445999999999</v>
      </c>
      <c r="U17" s="376"/>
      <c r="V17" s="394"/>
      <c r="W17" s="395"/>
      <c r="X17" s="406"/>
      <c r="Y17" s="395"/>
      <c r="Z17" s="407"/>
      <c r="AA17" s="376"/>
      <c r="AB17" s="408"/>
      <c r="AC17" s="409"/>
      <c r="AD17" s="410">
        <v>0</v>
      </c>
      <c r="AE17" s="376"/>
      <c r="AF17" s="392">
        <v>38.684210526315788</v>
      </c>
      <c r="AG17" s="387">
        <v>0.2036</v>
      </c>
      <c r="AH17" s="404">
        <v>299.29199999999997</v>
      </c>
      <c r="AI17" s="376"/>
      <c r="AJ17" s="411">
        <v>108151.6526</v>
      </c>
      <c r="AK17" s="675"/>
      <c r="AL17" s="670"/>
      <c r="AM17" s="670"/>
      <c r="AN17" s="330"/>
      <c r="AO17" s="407" t="s">
        <v>925</v>
      </c>
      <c r="AP17" s="394" t="s">
        <v>925</v>
      </c>
      <c r="AQ17" s="330">
        <v>0</v>
      </c>
      <c r="AR17" s="330">
        <v>0</v>
      </c>
      <c r="AS17" s="330">
        <v>297</v>
      </c>
      <c r="AU17" s="330">
        <v>1522.8408273230809</v>
      </c>
      <c r="AV17" s="330">
        <v>-1522.8408273230809</v>
      </c>
      <c r="AW17" s="676">
        <v>0</v>
      </c>
      <c r="AX17" s="668">
        <v>108448.6526</v>
      </c>
      <c r="AY17" s="668">
        <v>120794.99399999999</v>
      </c>
      <c r="AZ17" s="668">
        <v>-12346.34139999999</v>
      </c>
      <c r="BA17" s="677">
        <v>1308.6500336883005</v>
      </c>
      <c r="BD17" s="668">
        <v>108448.6526</v>
      </c>
      <c r="BE17" s="668">
        <v>0</v>
      </c>
      <c r="BG17" s="678">
        <v>120497.92600000001</v>
      </c>
      <c r="BH17" s="678">
        <v>108151.6526</v>
      </c>
      <c r="BI17" s="678">
        <v>-12346.273400000005</v>
      </c>
    </row>
    <row r="18" spans="1:61" ht="15" x14ac:dyDescent="0.25">
      <c r="A18" s="375" t="s">
        <v>60</v>
      </c>
      <c r="B18" s="332" t="s">
        <v>516</v>
      </c>
      <c r="C18" s="332">
        <v>2512</v>
      </c>
      <c r="D18" s="376"/>
      <c r="E18" s="403">
        <v>570</v>
      </c>
      <c r="F18" s="387">
        <v>17100</v>
      </c>
      <c r="G18" s="388">
        <v>12933</v>
      </c>
      <c r="H18" s="387">
        <v>4167</v>
      </c>
      <c r="I18" s="387">
        <v>12933</v>
      </c>
      <c r="J18" s="387" t="s">
        <v>504</v>
      </c>
      <c r="K18" s="389">
        <v>3.5636999999999999</v>
      </c>
      <c r="L18" s="404">
        <v>46089</v>
      </c>
      <c r="M18" s="380"/>
      <c r="N18" s="391">
        <v>73.421052631578945</v>
      </c>
      <c r="O18" s="387">
        <v>0.2036</v>
      </c>
      <c r="P18" s="404">
        <v>568.04399999999998</v>
      </c>
      <c r="Q18" s="380"/>
      <c r="R18" s="392">
        <v>4.7368421052631575</v>
      </c>
      <c r="S18" s="387">
        <v>1.7611399999999999</v>
      </c>
      <c r="T18" s="405">
        <v>317.00519999999995</v>
      </c>
      <c r="U18" s="376"/>
      <c r="V18" s="394"/>
      <c r="W18" s="395"/>
      <c r="X18" s="406"/>
      <c r="Y18" s="395"/>
      <c r="Z18" s="407"/>
      <c r="AA18" s="376"/>
      <c r="AB18" s="408"/>
      <c r="AC18" s="409"/>
      <c r="AD18" s="410">
        <v>0</v>
      </c>
      <c r="AE18" s="376"/>
      <c r="AF18" s="392">
        <v>29.210526315789473</v>
      </c>
      <c r="AG18" s="387">
        <v>0.2036</v>
      </c>
      <c r="AH18" s="404">
        <v>225.99600000000001</v>
      </c>
      <c r="AI18" s="376"/>
      <c r="AJ18" s="411">
        <v>47200.0452</v>
      </c>
      <c r="AK18" s="675"/>
      <c r="AL18" s="670"/>
      <c r="AM18" s="670"/>
      <c r="AN18" s="330"/>
      <c r="AO18" s="407" t="s">
        <v>925</v>
      </c>
      <c r="AP18" s="394" t="s">
        <v>925</v>
      </c>
      <c r="AQ18" s="330">
        <v>0</v>
      </c>
      <c r="AR18" s="330">
        <v>0</v>
      </c>
      <c r="AS18" s="330">
        <v>-2929</v>
      </c>
      <c r="AU18" s="330">
        <v>712.09763382921403</v>
      </c>
      <c r="AV18" s="330">
        <v>-712.09763382921403</v>
      </c>
      <c r="AW18" s="676">
        <v>0</v>
      </c>
      <c r="AX18" s="668">
        <v>44271.0452</v>
      </c>
      <c r="AY18" s="668">
        <v>47971.947200000002</v>
      </c>
      <c r="AZ18" s="668">
        <v>-3700.9020000000019</v>
      </c>
      <c r="BA18" s="677">
        <v>656.97410598117108</v>
      </c>
      <c r="BD18" s="668">
        <v>44271.0452</v>
      </c>
      <c r="BE18" s="668">
        <v>0</v>
      </c>
      <c r="BG18" s="678">
        <v>50901.065199999997</v>
      </c>
      <c r="BH18" s="678">
        <v>47200.0452</v>
      </c>
      <c r="BI18" s="678">
        <v>-3701.0199999999968</v>
      </c>
    </row>
    <row r="19" spans="1:61" ht="15" x14ac:dyDescent="0.25">
      <c r="A19" s="375" t="s">
        <v>61</v>
      </c>
      <c r="B19" s="332" t="s">
        <v>517</v>
      </c>
      <c r="C19" s="332">
        <v>2456</v>
      </c>
      <c r="D19" s="376"/>
      <c r="E19" s="403">
        <v>988</v>
      </c>
      <c r="F19" s="387">
        <v>29640</v>
      </c>
      <c r="G19" s="388">
        <v>27000</v>
      </c>
      <c r="H19" s="387">
        <v>2640</v>
      </c>
      <c r="I19" s="387">
        <v>27000</v>
      </c>
      <c r="J19" s="387" t="s">
        <v>504</v>
      </c>
      <c r="K19" s="389">
        <v>3.5636999999999999</v>
      </c>
      <c r="L19" s="404">
        <v>96220</v>
      </c>
      <c r="M19" s="380"/>
      <c r="N19" s="391">
        <v>313.42105263157896</v>
      </c>
      <c r="O19" s="387">
        <v>0.2036</v>
      </c>
      <c r="P19" s="404">
        <v>2424.8760000000002</v>
      </c>
      <c r="Q19" s="380"/>
      <c r="R19" s="392">
        <v>10.263157894736842</v>
      </c>
      <c r="S19" s="387">
        <v>1.7611399999999999</v>
      </c>
      <c r="T19" s="405">
        <v>686.8445999999999</v>
      </c>
      <c r="U19" s="376"/>
      <c r="V19" s="394"/>
      <c r="W19" s="395"/>
      <c r="X19" s="406"/>
      <c r="Y19" s="395"/>
      <c r="Z19" s="407"/>
      <c r="AA19" s="376"/>
      <c r="AB19" s="408"/>
      <c r="AC19" s="409"/>
      <c r="AD19" s="410">
        <v>0</v>
      </c>
      <c r="AE19" s="376"/>
      <c r="AF19" s="392">
        <v>250.26315789473685</v>
      </c>
      <c r="AG19" s="387">
        <v>0.2036</v>
      </c>
      <c r="AH19" s="404">
        <v>1936.2359999999999</v>
      </c>
      <c r="AI19" s="376"/>
      <c r="AJ19" s="411">
        <v>101267.9566</v>
      </c>
      <c r="AK19" s="675"/>
      <c r="AL19" s="670"/>
      <c r="AM19" s="670"/>
      <c r="AN19" s="330"/>
      <c r="AO19" s="407" t="s">
        <v>925</v>
      </c>
      <c r="AP19" s="394" t="s">
        <v>925</v>
      </c>
      <c r="AQ19" s="330">
        <v>0</v>
      </c>
      <c r="AR19" s="330">
        <v>0</v>
      </c>
      <c r="AS19" s="330">
        <v>-6137</v>
      </c>
      <c r="AU19" s="330">
        <v>1353.2937716494587</v>
      </c>
      <c r="AV19" s="330">
        <v>-1353.2937716494587</v>
      </c>
      <c r="AW19" s="676">
        <v>0</v>
      </c>
      <c r="AX19" s="668">
        <v>95130.956600000005</v>
      </c>
      <c r="AY19" s="668">
        <v>90913.126000000004</v>
      </c>
      <c r="AZ19" s="668">
        <v>4217.8306000000011</v>
      </c>
      <c r="BA19" s="677">
        <v>1237.1246269887376</v>
      </c>
      <c r="BD19" s="668">
        <v>95130.956600000005</v>
      </c>
      <c r="BE19" s="668">
        <v>0</v>
      </c>
      <c r="BG19" s="678">
        <v>97050.267999999996</v>
      </c>
      <c r="BH19" s="678">
        <v>101267.9566</v>
      </c>
      <c r="BI19" s="678">
        <v>4217.6886000000086</v>
      </c>
    </row>
    <row r="20" spans="1:61" ht="15" x14ac:dyDescent="0.25">
      <c r="A20" s="375" t="s">
        <v>37</v>
      </c>
      <c r="B20" s="332" t="s">
        <v>518</v>
      </c>
      <c r="C20" s="332">
        <v>1017</v>
      </c>
      <c r="D20" s="376"/>
      <c r="E20" s="403">
        <v>1520</v>
      </c>
      <c r="F20" s="387">
        <v>45600</v>
      </c>
      <c r="G20" s="388">
        <v>14457</v>
      </c>
      <c r="H20" s="387">
        <v>31143</v>
      </c>
      <c r="I20" s="387">
        <v>14457</v>
      </c>
      <c r="J20" s="387" t="s">
        <v>507</v>
      </c>
      <c r="K20" s="324">
        <v>5.5246000000000004</v>
      </c>
      <c r="L20" s="404">
        <v>79869</v>
      </c>
      <c r="M20" s="380"/>
      <c r="N20" s="391">
        <v>634.57894736842104</v>
      </c>
      <c r="O20" s="387">
        <v>0.2036</v>
      </c>
      <c r="P20" s="404">
        <v>4909.6103999999996</v>
      </c>
      <c r="Q20" s="380"/>
      <c r="R20" s="392">
        <v>4.7368421052631575</v>
      </c>
      <c r="S20" s="387">
        <v>1.7611399999999999</v>
      </c>
      <c r="T20" s="405">
        <v>317.00519999999995</v>
      </c>
      <c r="U20" s="376"/>
      <c r="V20" s="394"/>
      <c r="W20" s="395"/>
      <c r="X20" s="406"/>
      <c r="Y20" s="395"/>
      <c r="Z20" s="407"/>
      <c r="AA20" s="376"/>
      <c r="AB20" s="408">
        <v>1</v>
      </c>
      <c r="AC20" s="409">
        <v>100000</v>
      </c>
      <c r="AD20" s="410">
        <v>100000</v>
      </c>
      <c r="AE20" s="376"/>
      <c r="AF20" s="392">
        <v>92.84210526315789</v>
      </c>
      <c r="AG20" s="387">
        <v>0.2036</v>
      </c>
      <c r="AH20" s="404">
        <v>718.30079999999998</v>
      </c>
      <c r="AI20" s="376"/>
      <c r="AJ20" s="411">
        <v>185813.91639999999</v>
      </c>
      <c r="AK20" s="675"/>
      <c r="AL20" s="670"/>
      <c r="AM20" s="670"/>
      <c r="AN20" s="330"/>
      <c r="AO20" s="407">
        <v>0</v>
      </c>
      <c r="AP20" s="394">
        <v>0</v>
      </c>
      <c r="AQ20" s="330">
        <v>4450.1862600000004</v>
      </c>
      <c r="AR20" s="330">
        <v>6882</v>
      </c>
      <c r="AS20" s="330">
        <v>-40806</v>
      </c>
      <c r="AU20" s="330">
        <v>686.20317441724262</v>
      </c>
      <c r="AV20" s="330">
        <v>-686.20317441724262</v>
      </c>
      <c r="AW20" s="676">
        <v>0</v>
      </c>
      <c r="AX20" s="668">
        <v>156340.10265999998</v>
      </c>
      <c r="AY20" s="668">
        <v>153552.31545999998</v>
      </c>
      <c r="AZ20" s="668">
        <v>2787.7871999999916</v>
      </c>
      <c r="BA20" s="677">
        <v>731.67841964515912</v>
      </c>
      <c r="BD20" s="668">
        <v>149458.10265999998</v>
      </c>
      <c r="BE20" s="668">
        <v>6882</v>
      </c>
      <c r="BG20" s="678">
        <v>183026.5716</v>
      </c>
      <c r="BH20" s="678">
        <v>185813.91639999999</v>
      </c>
      <c r="BI20" s="678">
        <v>2787.3447999999917</v>
      </c>
    </row>
    <row r="21" spans="1:61" ht="15" x14ac:dyDescent="0.25">
      <c r="A21" s="375" t="s">
        <v>62</v>
      </c>
      <c r="B21" s="332" t="s">
        <v>519</v>
      </c>
      <c r="C21" s="332">
        <v>2449</v>
      </c>
      <c r="D21" s="376"/>
      <c r="E21" s="403">
        <v>1482</v>
      </c>
      <c r="F21" s="387">
        <v>44460</v>
      </c>
      <c r="G21" s="388">
        <v>43755</v>
      </c>
      <c r="H21" s="387">
        <v>705</v>
      </c>
      <c r="I21" s="387">
        <v>43755</v>
      </c>
      <c r="J21" s="387" t="s">
        <v>504</v>
      </c>
      <c r="K21" s="389">
        <v>3.5636999999999999</v>
      </c>
      <c r="L21" s="404">
        <v>155930</v>
      </c>
      <c r="M21" s="380"/>
      <c r="N21" s="391">
        <v>747.23684210526324</v>
      </c>
      <c r="O21" s="387">
        <v>0.2036</v>
      </c>
      <c r="P21" s="404">
        <v>5781.2220000000007</v>
      </c>
      <c r="Q21" s="380"/>
      <c r="R21" s="392">
        <v>10.263157894736842</v>
      </c>
      <c r="S21" s="387">
        <v>1.7611399999999999</v>
      </c>
      <c r="T21" s="405">
        <v>686.8445999999999</v>
      </c>
      <c r="U21" s="376"/>
      <c r="V21" s="394"/>
      <c r="W21" s="395"/>
      <c r="X21" s="406"/>
      <c r="Y21" s="395"/>
      <c r="Z21" s="407"/>
      <c r="AA21" s="376"/>
      <c r="AB21" s="408"/>
      <c r="AC21" s="409"/>
      <c r="AD21" s="410">
        <v>0</v>
      </c>
      <c r="AE21" s="376"/>
      <c r="AF21" s="392">
        <v>23.684210526315791</v>
      </c>
      <c r="AG21" s="387">
        <v>0.2036</v>
      </c>
      <c r="AH21" s="404">
        <v>183.24</v>
      </c>
      <c r="AI21" s="376"/>
      <c r="AJ21" s="411">
        <v>162581.30660000001</v>
      </c>
      <c r="AK21" s="675"/>
      <c r="AL21" s="670"/>
      <c r="AM21" s="670"/>
      <c r="AN21" s="330"/>
      <c r="AO21" s="407" t="s">
        <v>925</v>
      </c>
      <c r="AP21" s="394" t="s">
        <v>925</v>
      </c>
      <c r="AQ21" s="330">
        <v>0</v>
      </c>
      <c r="AR21" s="330">
        <v>0</v>
      </c>
      <c r="AS21" s="330">
        <v>-2740</v>
      </c>
      <c r="AU21" s="330">
        <v>2275.0132197660605</v>
      </c>
      <c r="AV21" s="330">
        <v>-2275.0132197660605</v>
      </c>
      <c r="AW21" s="676">
        <v>0</v>
      </c>
      <c r="AX21" s="668">
        <v>159841.30660000001</v>
      </c>
      <c r="AY21" s="668">
        <v>164085.81679999997</v>
      </c>
      <c r="AZ21" s="668">
        <v>-4244.5101999999606</v>
      </c>
      <c r="BA21" s="677">
        <v>1955.0277831213884</v>
      </c>
      <c r="BD21" s="668">
        <v>159841.30660000001</v>
      </c>
      <c r="BE21" s="668">
        <v>0</v>
      </c>
      <c r="BG21" s="678">
        <v>166826.1808</v>
      </c>
      <c r="BH21" s="678">
        <v>162581.30660000001</v>
      </c>
      <c r="BI21" s="678">
        <v>-4244.8741999999911</v>
      </c>
    </row>
    <row r="22" spans="1:61" ht="15" x14ac:dyDescent="0.25">
      <c r="A22" s="375" t="s">
        <v>38</v>
      </c>
      <c r="B22" s="332" t="s">
        <v>520</v>
      </c>
      <c r="C22" s="332">
        <v>1006</v>
      </c>
      <c r="D22" s="376"/>
      <c r="E22" s="403">
        <v>1976</v>
      </c>
      <c r="F22" s="387">
        <v>59280</v>
      </c>
      <c r="G22" s="388">
        <v>38433</v>
      </c>
      <c r="H22" s="387">
        <v>20847</v>
      </c>
      <c r="I22" s="387">
        <v>38433</v>
      </c>
      <c r="J22" s="387" t="s">
        <v>507</v>
      </c>
      <c r="K22" s="324">
        <v>5.5246000000000004</v>
      </c>
      <c r="L22" s="404">
        <v>212327</v>
      </c>
      <c r="M22" s="380"/>
      <c r="N22" s="391">
        <v>1293.2368421052631</v>
      </c>
      <c r="O22" s="387">
        <v>0.2036</v>
      </c>
      <c r="P22" s="404">
        <v>10005.514799999999</v>
      </c>
      <c r="Q22" s="380"/>
      <c r="R22" s="392">
        <v>32.763157894736842</v>
      </c>
      <c r="S22" s="387">
        <v>1.7611399999999999</v>
      </c>
      <c r="T22" s="405">
        <v>2192.6192999999998</v>
      </c>
      <c r="U22" s="376"/>
      <c r="V22" s="394"/>
      <c r="W22" s="395"/>
      <c r="X22" s="406"/>
      <c r="Y22" s="395"/>
      <c r="Z22" s="407"/>
      <c r="AA22" s="376"/>
      <c r="AB22" s="408">
        <v>1</v>
      </c>
      <c r="AC22" s="409">
        <v>100000</v>
      </c>
      <c r="AD22" s="410">
        <v>100000</v>
      </c>
      <c r="AE22" s="376"/>
      <c r="AF22" s="392">
        <v>120.31578947368421</v>
      </c>
      <c r="AG22" s="387">
        <v>0.2036</v>
      </c>
      <c r="AH22" s="404">
        <v>930.85919999999999</v>
      </c>
      <c r="AI22" s="376"/>
      <c r="AJ22" s="411">
        <v>325455.99330000003</v>
      </c>
      <c r="AK22" s="675"/>
      <c r="AL22" s="670"/>
      <c r="AM22" s="670"/>
      <c r="AN22" s="330"/>
      <c r="AO22" s="407">
        <v>1251</v>
      </c>
      <c r="AP22" s="394">
        <v>84310</v>
      </c>
      <c r="AQ22" s="330">
        <v>4545.4850399999996</v>
      </c>
      <c r="AR22" s="330">
        <v>0</v>
      </c>
      <c r="AS22" s="330">
        <v>17063</v>
      </c>
      <c r="AU22" s="330">
        <v>2003.4296633143124</v>
      </c>
      <c r="AV22" s="330">
        <v>-2003.4296633143124</v>
      </c>
      <c r="AW22" s="676">
        <v>0</v>
      </c>
      <c r="AX22" s="668">
        <v>432625.47834000003</v>
      </c>
      <c r="AY22" s="668">
        <v>436453.26244000002</v>
      </c>
      <c r="AZ22" s="668">
        <v>-3827.7840999999898</v>
      </c>
      <c r="BA22" s="677">
        <v>1656.7403462928407</v>
      </c>
      <c r="BD22" s="668">
        <v>347064.47834000003</v>
      </c>
      <c r="BE22" s="668">
        <v>85561</v>
      </c>
      <c r="BG22" s="678">
        <v>329283.52500000002</v>
      </c>
      <c r="BH22" s="678">
        <v>325455.99330000003</v>
      </c>
      <c r="BI22" s="678">
        <v>-3827.5316999999923</v>
      </c>
    </row>
    <row r="23" spans="1:61" ht="15" x14ac:dyDescent="0.25">
      <c r="A23" s="375" t="s">
        <v>521</v>
      </c>
      <c r="B23" s="332" t="s">
        <v>522</v>
      </c>
      <c r="C23" s="332">
        <v>2467</v>
      </c>
      <c r="D23" s="376"/>
      <c r="E23" s="403">
        <v>988</v>
      </c>
      <c r="F23" s="387">
        <v>29640</v>
      </c>
      <c r="G23" s="388">
        <v>21732</v>
      </c>
      <c r="H23" s="387">
        <v>7908</v>
      </c>
      <c r="I23" s="387">
        <v>21732</v>
      </c>
      <c r="J23" s="387" t="s">
        <v>504</v>
      </c>
      <c r="K23" s="389">
        <v>3.5636999999999999</v>
      </c>
      <c r="L23" s="404">
        <v>77446</v>
      </c>
      <c r="M23" s="380"/>
      <c r="N23" s="391">
        <v>627.78947368421041</v>
      </c>
      <c r="O23" s="387">
        <v>0.2036</v>
      </c>
      <c r="P23" s="404">
        <v>4857.0815999999995</v>
      </c>
      <c r="Q23" s="380"/>
      <c r="R23" s="392">
        <v>23.684210526315791</v>
      </c>
      <c r="S23" s="387">
        <v>1.7611399999999999</v>
      </c>
      <c r="T23" s="405">
        <v>1585.0260000000001</v>
      </c>
      <c r="U23" s="376"/>
      <c r="V23" s="394"/>
      <c r="W23" s="395"/>
      <c r="X23" s="406"/>
      <c r="Y23" s="395"/>
      <c r="Z23" s="407"/>
      <c r="AA23" s="376"/>
      <c r="AB23" s="408"/>
      <c r="AC23" s="409"/>
      <c r="AD23" s="410">
        <v>0</v>
      </c>
      <c r="AE23" s="376"/>
      <c r="AF23" s="392">
        <v>18.473684210526315</v>
      </c>
      <c r="AG23" s="387">
        <v>0.2036</v>
      </c>
      <c r="AH23" s="404">
        <v>142.9272</v>
      </c>
      <c r="AI23" s="376"/>
      <c r="AJ23" s="411">
        <v>84031.034799999994</v>
      </c>
      <c r="AK23" s="675"/>
      <c r="AL23" s="670"/>
      <c r="AM23" s="670"/>
      <c r="AN23" s="330"/>
      <c r="AO23" s="407" t="s">
        <v>925</v>
      </c>
      <c r="AP23" s="394" t="s">
        <v>925</v>
      </c>
      <c r="AQ23" s="330">
        <v>0</v>
      </c>
      <c r="AR23" s="330">
        <v>0</v>
      </c>
      <c r="AS23" s="330">
        <v>-2786</v>
      </c>
      <c r="AU23" s="330">
        <v>1387.5114501581352</v>
      </c>
      <c r="AV23" s="330">
        <v>-1387.5114501581352</v>
      </c>
      <c r="AW23" s="676">
        <v>0</v>
      </c>
      <c r="AX23" s="668">
        <v>81245.034799999994</v>
      </c>
      <c r="AY23" s="668">
        <v>103630.90479999999</v>
      </c>
      <c r="AZ23" s="668">
        <v>-22385.869999999995</v>
      </c>
      <c r="BA23" s="677">
        <v>1241.0982606942689</v>
      </c>
      <c r="BD23" s="668">
        <v>81245.034799999994</v>
      </c>
      <c r="BE23" s="668">
        <v>0</v>
      </c>
      <c r="BG23" s="678">
        <v>106416.6226</v>
      </c>
      <c r="BH23" s="678">
        <v>84031.034799999994</v>
      </c>
      <c r="BI23" s="678">
        <v>-22385.587800000008</v>
      </c>
    </row>
    <row r="24" spans="1:61" ht="15" x14ac:dyDescent="0.25">
      <c r="A24" s="415" t="s">
        <v>523</v>
      </c>
      <c r="B24" s="331" t="s">
        <v>524</v>
      </c>
      <c r="C24" s="331">
        <v>2451</v>
      </c>
      <c r="D24" s="376"/>
      <c r="E24" s="403">
        <v>988</v>
      </c>
      <c r="F24" s="387">
        <v>29640</v>
      </c>
      <c r="G24" s="388">
        <v>29568</v>
      </c>
      <c r="H24" s="387">
        <v>72</v>
      </c>
      <c r="I24" s="387">
        <v>29568</v>
      </c>
      <c r="J24" s="387" t="s">
        <v>504</v>
      </c>
      <c r="K24" s="389">
        <v>3.5636999999999999</v>
      </c>
      <c r="L24" s="404">
        <v>105371</v>
      </c>
      <c r="M24" s="380"/>
      <c r="N24" s="391">
        <v>512.0526315789474</v>
      </c>
      <c r="O24" s="387">
        <v>0.2036</v>
      </c>
      <c r="P24" s="404">
        <v>3961.6488000000004</v>
      </c>
      <c r="Q24" s="380"/>
      <c r="R24" s="392">
        <v>4.7368421052631575</v>
      </c>
      <c r="S24" s="387">
        <v>1.7611399999999999</v>
      </c>
      <c r="T24" s="405">
        <v>317.00519999999995</v>
      </c>
      <c r="U24" s="376"/>
      <c r="V24" s="394"/>
      <c r="W24" s="395"/>
      <c r="X24" s="406"/>
      <c r="Y24" s="395"/>
      <c r="Z24" s="407"/>
      <c r="AA24" s="376"/>
      <c r="AB24" s="408"/>
      <c r="AC24" s="409"/>
      <c r="AD24" s="410">
        <v>0</v>
      </c>
      <c r="AE24" s="376"/>
      <c r="AF24" s="392">
        <v>10.263157894736842</v>
      </c>
      <c r="AG24" s="387">
        <v>0.2036</v>
      </c>
      <c r="AH24" s="404">
        <v>79.403999999999996</v>
      </c>
      <c r="AI24" s="376"/>
      <c r="AJ24" s="411">
        <v>109729.058</v>
      </c>
      <c r="AK24" s="675"/>
      <c r="AL24" s="670"/>
      <c r="AM24" s="670"/>
      <c r="AN24" s="330"/>
      <c r="AO24" s="407" t="s">
        <v>925</v>
      </c>
      <c r="AP24" s="394" t="s">
        <v>925</v>
      </c>
      <c r="AQ24" s="330">
        <v>0</v>
      </c>
      <c r="AR24" s="330">
        <v>0</v>
      </c>
      <c r="AS24" s="330">
        <v>-5373</v>
      </c>
      <c r="AU24" s="330">
        <v>1522.8408273230809</v>
      </c>
      <c r="AV24" s="330">
        <v>-1522.8408273230809</v>
      </c>
      <c r="AW24" s="676">
        <v>0</v>
      </c>
      <c r="AX24" s="668">
        <v>104356.058</v>
      </c>
      <c r="AY24" s="668">
        <v>108232.42139999999</v>
      </c>
      <c r="AZ24" s="668">
        <v>-3876.3633999999875</v>
      </c>
      <c r="BA24" s="677">
        <v>1299.9080395361318</v>
      </c>
      <c r="BD24" s="668">
        <v>104356.058</v>
      </c>
      <c r="BE24" s="668">
        <v>0</v>
      </c>
      <c r="BG24" s="678">
        <v>113605.35339999999</v>
      </c>
      <c r="BH24" s="678">
        <v>109729.058</v>
      </c>
      <c r="BI24" s="678">
        <v>-3876.2953999999881</v>
      </c>
    </row>
    <row r="25" spans="1:61" ht="15" x14ac:dyDescent="0.25">
      <c r="A25" s="375" t="s">
        <v>69</v>
      </c>
      <c r="B25" s="332" t="s">
        <v>525</v>
      </c>
      <c r="C25" s="332">
        <v>2619</v>
      </c>
      <c r="D25" s="376"/>
      <c r="E25" s="403">
        <v>1482</v>
      </c>
      <c r="F25" s="387">
        <v>44460</v>
      </c>
      <c r="G25" s="388">
        <v>18243</v>
      </c>
      <c r="H25" s="387">
        <v>26217</v>
      </c>
      <c r="I25" s="387">
        <v>18243</v>
      </c>
      <c r="J25" s="387" t="s">
        <v>504</v>
      </c>
      <c r="K25" s="389">
        <v>3.5636999999999999</v>
      </c>
      <c r="L25" s="404">
        <v>65013</v>
      </c>
      <c r="M25" s="380"/>
      <c r="N25" s="391">
        <v>1261.6578947368421</v>
      </c>
      <c r="O25" s="387">
        <v>0.2036</v>
      </c>
      <c r="P25" s="404">
        <v>9761.1947999999993</v>
      </c>
      <c r="Q25" s="380"/>
      <c r="R25" s="392">
        <v>24.473684210526315</v>
      </c>
      <c r="S25" s="387">
        <v>1.7611399999999999</v>
      </c>
      <c r="T25" s="405">
        <v>1637.8601999999998</v>
      </c>
      <c r="U25" s="376"/>
      <c r="V25" s="394"/>
      <c r="W25" s="395"/>
      <c r="X25" s="406"/>
      <c r="Y25" s="395"/>
      <c r="Z25" s="407"/>
      <c r="AA25" s="376"/>
      <c r="AB25" s="408"/>
      <c r="AC25" s="409"/>
      <c r="AD25" s="410">
        <v>0</v>
      </c>
      <c r="AE25" s="376"/>
      <c r="AF25" s="392">
        <v>102.23684210526316</v>
      </c>
      <c r="AG25" s="387">
        <v>0.2036</v>
      </c>
      <c r="AH25" s="404">
        <v>790.9860000000001</v>
      </c>
      <c r="AI25" s="376"/>
      <c r="AJ25" s="411">
        <v>77203.040999999997</v>
      </c>
      <c r="AK25" s="675"/>
      <c r="AL25" s="670"/>
      <c r="AM25" s="670"/>
      <c r="AN25" s="330"/>
      <c r="AO25" s="407" t="s">
        <v>925</v>
      </c>
      <c r="AP25" s="394" t="s">
        <v>925</v>
      </c>
      <c r="AQ25" s="330">
        <v>0</v>
      </c>
      <c r="AR25" s="330">
        <v>0</v>
      </c>
      <c r="AS25" s="330">
        <v>-14208</v>
      </c>
      <c r="AU25" s="330">
        <v>995.08708311718738</v>
      </c>
      <c r="AV25" s="330">
        <v>-995.08708311718738</v>
      </c>
      <c r="AW25" s="676">
        <v>0</v>
      </c>
      <c r="AX25" s="668">
        <v>62995.040999999997</v>
      </c>
      <c r="AY25" s="668">
        <v>66024.059399999984</v>
      </c>
      <c r="AZ25" s="668">
        <v>-3029.0183999999863</v>
      </c>
      <c r="BA25" s="677">
        <v>905.98848486113127</v>
      </c>
      <c r="BD25" s="668">
        <v>62995.040999999997</v>
      </c>
      <c r="BE25" s="668">
        <v>0</v>
      </c>
      <c r="BG25" s="678">
        <v>80232.317800000004</v>
      </c>
      <c r="BH25" s="678">
        <v>77203.040999999997</v>
      </c>
      <c r="BI25" s="678">
        <v>-3029.2768000000069</v>
      </c>
    </row>
    <row r="26" spans="1:61" ht="15" x14ac:dyDescent="0.25">
      <c r="A26" s="375" t="s">
        <v>70</v>
      </c>
      <c r="B26" s="332" t="s">
        <v>526</v>
      </c>
      <c r="C26" s="332">
        <v>2518</v>
      </c>
      <c r="D26" s="376"/>
      <c r="E26" s="403">
        <v>1482</v>
      </c>
      <c r="F26" s="387">
        <v>44460</v>
      </c>
      <c r="G26" s="388">
        <v>11490</v>
      </c>
      <c r="H26" s="387">
        <v>32970</v>
      </c>
      <c r="I26" s="387">
        <v>11490</v>
      </c>
      <c r="J26" s="387" t="s">
        <v>504</v>
      </c>
      <c r="K26" s="389">
        <v>3.5636999999999999</v>
      </c>
      <c r="L26" s="404">
        <v>40947</v>
      </c>
      <c r="M26" s="380"/>
      <c r="N26" s="391">
        <v>619.73684210526312</v>
      </c>
      <c r="O26" s="387">
        <v>0.2036</v>
      </c>
      <c r="P26" s="404">
        <v>4794.78</v>
      </c>
      <c r="Q26" s="380"/>
      <c r="R26" s="392">
        <v>23.684210526315791</v>
      </c>
      <c r="S26" s="387">
        <v>1.7611399999999999</v>
      </c>
      <c r="T26" s="405">
        <v>1585.0260000000001</v>
      </c>
      <c r="U26" s="376"/>
      <c r="V26" s="394"/>
      <c r="W26" s="395"/>
      <c r="X26" s="406"/>
      <c r="Y26" s="395"/>
      <c r="Z26" s="407"/>
      <c r="AA26" s="376"/>
      <c r="AB26" s="408"/>
      <c r="AC26" s="409"/>
      <c r="AD26" s="410">
        <v>0</v>
      </c>
      <c r="AE26" s="376"/>
      <c r="AF26" s="392">
        <v>142.10526315789474</v>
      </c>
      <c r="AG26" s="387">
        <v>0.2036</v>
      </c>
      <c r="AH26" s="404">
        <v>1099.44</v>
      </c>
      <c r="AI26" s="376"/>
      <c r="AJ26" s="411">
        <v>48426.245999999999</v>
      </c>
      <c r="AK26" s="675"/>
      <c r="AL26" s="670"/>
      <c r="AM26" s="670"/>
      <c r="AN26" s="330"/>
      <c r="AO26" s="407" t="s">
        <v>925</v>
      </c>
      <c r="AP26" s="394" t="s">
        <v>925</v>
      </c>
      <c r="AQ26" s="330">
        <v>0</v>
      </c>
      <c r="AR26" s="330">
        <v>0</v>
      </c>
      <c r="AS26" s="330">
        <v>2360</v>
      </c>
      <c r="AU26" s="330">
        <v>883.18602637259664</v>
      </c>
      <c r="AV26" s="330">
        <v>-883.18602637259664</v>
      </c>
      <c r="AW26" s="676">
        <v>0</v>
      </c>
      <c r="AX26" s="668">
        <v>50786.245999999999</v>
      </c>
      <c r="AY26" s="668">
        <v>74031.699800000002</v>
      </c>
      <c r="AZ26" s="668">
        <v>-23245.453800000003</v>
      </c>
      <c r="BA26" s="677">
        <v>731.14860181775498</v>
      </c>
      <c r="BD26" s="668">
        <v>50786.245999999999</v>
      </c>
      <c r="BE26" s="668">
        <v>0</v>
      </c>
      <c r="BG26" s="678">
        <v>71671.696800000005</v>
      </c>
      <c r="BH26" s="678">
        <v>48426.245999999999</v>
      </c>
      <c r="BI26" s="678">
        <v>-23245.450800000006</v>
      </c>
    </row>
    <row r="27" spans="1:61" ht="15" x14ac:dyDescent="0.25">
      <c r="A27" s="375" t="s">
        <v>527</v>
      </c>
      <c r="B27" s="332" t="s">
        <v>528</v>
      </c>
      <c r="C27" s="332">
        <v>2010</v>
      </c>
      <c r="D27" s="376"/>
      <c r="E27" s="403">
        <v>988</v>
      </c>
      <c r="F27" s="387">
        <v>29640</v>
      </c>
      <c r="G27" s="388">
        <v>25542</v>
      </c>
      <c r="H27" s="387">
        <v>4098</v>
      </c>
      <c r="I27" s="387">
        <v>25542</v>
      </c>
      <c r="J27" s="387" t="s">
        <v>504</v>
      </c>
      <c r="K27" s="389">
        <v>3.5636999999999999</v>
      </c>
      <c r="L27" s="404">
        <v>91024</v>
      </c>
      <c r="M27" s="380"/>
      <c r="N27" s="391">
        <v>1584.9473684210525</v>
      </c>
      <c r="O27" s="387">
        <v>0.2036</v>
      </c>
      <c r="P27" s="404">
        <v>12262.420799999998</v>
      </c>
      <c r="Q27" s="380"/>
      <c r="R27" s="392">
        <v>10.263157894736842</v>
      </c>
      <c r="S27" s="387">
        <v>1.7611399999999999</v>
      </c>
      <c r="T27" s="405">
        <v>686.8445999999999</v>
      </c>
      <c r="U27" s="376"/>
      <c r="V27" s="394"/>
      <c r="W27" s="395"/>
      <c r="X27" s="406"/>
      <c r="Y27" s="395"/>
      <c r="Z27" s="407"/>
      <c r="AA27" s="376"/>
      <c r="AB27" s="408"/>
      <c r="AC27" s="409"/>
      <c r="AD27" s="410">
        <v>0</v>
      </c>
      <c r="AE27" s="376"/>
      <c r="AF27" s="392">
        <v>266.36842105263156</v>
      </c>
      <c r="AG27" s="387">
        <v>0.2036</v>
      </c>
      <c r="AH27" s="404">
        <v>2060.8391999999999</v>
      </c>
      <c r="AI27" s="376"/>
      <c r="AJ27" s="411">
        <v>106034.10459999999</v>
      </c>
      <c r="AK27" s="675"/>
      <c r="AL27" s="670"/>
      <c r="AM27" s="670"/>
      <c r="AN27" s="330"/>
      <c r="AO27" s="407" t="s">
        <v>925</v>
      </c>
      <c r="AP27" s="394" t="s">
        <v>925</v>
      </c>
      <c r="AQ27" s="330">
        <v>0</v>
      </c>
      <c r="AR27" s="330">
        <v>0</v>
      </c>
      <c r="AS27" s="330">
        <v>0</v>
      </c>
      <c r="AT27" s="668" t="s">
        <v>926</v>
      </c>
      <c r="AU27" s="330">
        <v>1180.6640422363159</v>
      </c>
      <c r="AV27" s="330">
        <v>0</v>
      </c>
      <c r="AW27" s="676">
        <v>0</v>
      </c>
      <c r="AX27" s="668">
        <v>107214.7686422363</v>
      </c>
      <c r="AY27" s="668">
        <v>97094.487842236311</v>
      </c>
      <c r="AZ27" s="668">
        <v>10120.280799999993</v>
      </c>
      <c r="BA27" s="677">
        <v>997.38206008835061</v>
      </c>
      <c r="BD27" s="668">
        <v>107214.7686422363</v>
      </c>
      <c r="BE27" s="668">
        <v>0</v>
      </c>
      <c r="BG27" s="678">
        <v>95913.997799999997</v>
      </c>
      <c r="BH27" s="678">
        <v>106034.10459999999</v>
      </c>
      <c r="BI27" s="668">
        <v>10120.280799999993</v>
      </c>
    </row>
    <row r="28" spans="1:61" ht="15" x14ac:dyDescent="0.25">
      <c r="A28" s="375" t="s">
        <v>73</v>
      </c>
      <c r="B28" s="332" t="s">
        <v>529</v>
      </c>
      <c r="C28" s="332">
        <v>2002</v>
      </c>
      <c r="D28" s="376"/>
      <c r="E28" s="403">
        <v>988</v>
      </c>
      <c r="F28" s="387">
        <v>29640</v>
      </c>
      <c r="G28" s="388">
        <v>28590</v>
      </c>
      <c r="H28" s="387">
        <v>1050</v>
      </c>
      <c r="I28" s="387">
        <v>28590</v>
      </c>
      <c r="J28" s="387" t="s">
        <v>504</v>
      </c>
      <c r="K28" s="389">
        <v>3.5636999999999999</v>
      </c>
      <c r="L28" s="404">
        <v>101886</v>
      </c>
      <c r="M28" s="380"/>
      <c r="N28" s="391">
        <v>52.89473684210526</v>
      </c>
      <c r="O28" s="387">
        <v>0.2036</v>
      </c>
      <c r="P28" s="404">
        <v>409.23599999999999</v>
      </c>
      <c r="Q28" s="380"/>
      <c r="R28" s="392">
        <v>4.7368421052631575</v>
      </c>
      <c r="S28" s="387">
        <v>1.7611399999999999</v>
      </c>
      <c r="T28" s="405">
        <v>317.00519999999995</v>
      </c>
      <c r="U28" s="376"/>
      <c r="V28" s="394"/>
      <c r="W28" s="395"/>
      <c r="X28" s="406"/>
      <c r="Y28" s="395"/>
      <c r="Z28" s="407"/>
      <c r="AA28" s="376"/>
      <c r="AB28" s="408"/>
      <c r="AC28" s="409"/>
      <c r="AD28" s="410">
        <v>0</v>
      </c>
      <c r="AE28" s="376"/>
      <c r="AF28" s="392">
        <v>29.210526315789473</v>
      </c>
      <c r="AG28" s="387">
        <v>0.2036</v>
      </c>
      <c r="AH28" s="404">
        <v>225.99600000000001</v>
      </c>
      <c r="AI28" s="376"/>
      <c r="AJ28" s="411">
        <v>102838.2372</v>
      </c>
      <c r="AK28" s="675"/>
      <c r="AL28" s="670"/>
      <c r="AM28" s="670"/>
      <c r="AN28" s="330"/>
      <c r="AO28" s="407" t="s">
        <v>925</v>
      </c>
      <c r="AP28" s="394" t="s">
        <v>925</v>
      </c>
      <c r="AQ28" s="330">
        <v>0</v>
      </c>
      <c r="AR28" s="330">
        <v>0</v>
      </c>
      <c r="AS28" s="330">
        <v>3273</v>
      </c>
      <c r="AU28" s="330">
        <v>1493.5554267976372</v>
      </c>
      <c r="AV28" s="330">
        <v>-1493.5554267976372</v>
      </c>
      <c r="AW28" s="676">
        <v>0</v>
      </c>
      <c r="AX28" s="668">
        <v>106111.2372</v>
      </c>
      <c r="AY28" s="668">
        <v>107764.88639999999</v>
      </c>
      <c r="AZ28" s="668">
        <v>-1653.6491999999853</v>
      </c>
      <c r="BA28" s="677">
        <v>1243.7473498312897</v>
      </c>
      <c r="BD28" s="668">
        <v>106111.2372</v>
      </c>
      <c r="BE28" s="668">
        <v>0</v>
      </c>
      <c r="BG28" s="678">
        <v>104492.1274</v>
      </c>
      <c r="BH28" s="678">
        <v>102838.2372</v>
      </c>
      <c r="BI28" s="678">
        <v>-1653.8901999999944</v>
      </c>
    </row>
    <row r="29" spans="1:61" ht="15" x14ac:dyDescent="0.25">
      <c r="A29" s="375" t="s">
        <v>74</v>
      </c>
      <c r="B29" s="332" t="s">
        <v>530</v>
      </c>
      <c r="C29" s="332">
        <v>3544</v>
      </c>
      <c r="D29" s="376"/>
      <c r="E29" s="403">
        <v>1140</v>
      </c>
      <c r="F29" s="387">
        <v>34200</v>
      </c>
      <c r="G29" s="388">
        <v>28770</v>
      </c>
      <c r="H29" s="387">
        <v>5430</v>
      </c>
      <c r="I29" s="387">
        <v>28770</v>
      </c>
      <c r="J29" s="387" t="s">
        <v>504</v>
      </c>
      <c r="K29" s="389">
        <v>3.5636999999999999</v>
      </c>
      <c r="L29" s="404">
        <v>102528</v>
      </c>
      <c r="M29" s="380"/>
      <c r="N29" s="391">
        <v>2188.4210526315792</v>
      </c>
      <c r="O29" s="387">
        <v>0.2036</v>
      </c>
      <c r="P29" s="404">
        <v>16931.376</v>
      </c>
      <c r="Q29" s="380"/>
      <c r="R29" s="392">
        <v>19.736842105263158</v>
      </c>
      <c r="S29" s="387">
        <v>1.7611399999999999</v>
      </c>
      <c r="T29" s="405">
        <v>1320.855</v>
      </c>
      <c r="U29" s="376"/>
      <c r="V29" s="394"/>
      <c r="W29" s="395"/>
      <c r="X29" s="406"/>
      <c r="Y29" s="395"/>
      <c r="Z29" s="407"/>
      <c r="AA29" s="376"/>
      <c r="AB29" s="408"/>
      <c r="AC29" s="409"/>
      <c r="AD29" s="410">
        <v>0</v>
      </c>
      <c r="AE29" s="376"/>
      <c r="AF29" s="392">
        <v>532.10526315789468</v>
      </c>
      <c r="AG29" s="387">
        <v>0.2036</v>
      </c>
      <c r="AH29" s="404">
        <v>4116.7919999999995</v>
      </c>
      <c r="AI29" s="376"/>
      <c r="AJ29" s="411">
        <v>124897.023</v>
      </c>
      <c r="AK29" s="675"/>
      <c r="AL29" s="670"/>
      <c r="AM29" s="670"/>
      <c r="AN29" s="330"/>
      <c r="AO29" s="407" t="s">
        <v>925</v>
      </c>
      <c r="AP29" s="394" t="s">
        <v>925</v>
      </c>
      <c r="AQ29" s="330">
        <v>0</v>
      </c>
      <c r="AR29" s="330">
        <v>0</v>
      </c>
      <c r="AS29" s="330">
        <v>-12351</v>
      </c>
      <c r="AU29" s="330">
        <v>1556.7502384578056</v>
      </c>
      <c r="AV29" s="330">
        <v>-1556.7502384578056</v>
      </c>
      <c r="AW29" s="676">
        <v>0</v>
      </c>
      <c r="AX29" s="668">
        <v>112546.023</v>
      </c>
      <c r="AY29" s="668">
        <v>119547.42719999998</v>
      </c>
      <c r="AZ29" s="668">
        <v>-7001.4041999999754</v>
      </c>
      <c r="BA29" s="677">
        <v>1409.315420895093</v>
      </c>
      <c r="BD29" s="668">
        <v>112546.023</v>
      </c>
      <c r="BE29" s="668">
        <v>0</v>
      </c>
      <c r="BG29" s="678">
        <v>131898.31719999999</v>
      </c>
      <c r="BH29" s="678">
        <v>124897.023</v>
      </c>
      <c r="BI29" s="678">
        <v>-7001.2941999999894</v>
      </c>
    </row>
    <row r="30" spans="1:61" ht="15" x14ac:dyDescent="0.25">
      <c r="A30" s="375" t="s">
        <v>39</v>
      </c>
      <c r="B30" s="332" t="s">
        <v>531</v>
      </c>
      <c r="C30" s="332">
        <v>1008</v>
      </c>
      <c r="D30" s="376"/>
      <c r="E30" s="403">
        <v>1520</v>
      </c>
      <c r="F30" s="387">
        <v>45600</v>
      </c>
      <c r="G30" s="388">
        <v>44580</v>
      </c>
      <c r="H30" s="387">
        <v>1020</v>
      </c>
      <c r="I30" s="387">
        <v>44580</v>
      </c>
      <c r="J30" s="387" t="s">
        <v>507</v>
      </c>
      <c r="K30" s="324">
        <v>5.5246000000000004</v>
      </c>
      <c r="L30" s="404">
        <v>246287</v>
      </c>
      <c r="M30" s="380"/>
      <c r="N30" s="391">
        <v>3268.4210526315792</v>
      </c>
      <c r="O30" s="387">
        <v>0.2036</v>
      </c>
      <c r="P30" s="404">
        <v>25287.119999999999</v>
      </c>
      <c r="Q30" s="380"/>
      <c r="R30" s="392">
        <v>30</v>
      </c>
      <c r="S30" s="387">
        <v>1.7611399999999999</v>
      </c>
      <c r="T30" s="405">
        <v>2007.6995999999999</v>
      </c>
      <c r="U30" s="376"/>
      <c r="V30" s="394"/>
      <c r="W30" s="395"/>
      <c r="X30" s="406"/>
      <c r="Y30" s="395"/>
      <c r="Z30" s="407"/>
      <c r="AA30" s="376"/>
      <c r="AB30" s="408">
        <v>1</v>
      </c>
      <c r="AC30" s="409">
        <v>100000</v>
      </c>
      <c r="AD30" s="410">
        <v>100000</v>
      </c>
      <c r="AE30" s="376"/>
      <c r="AF30" s="392">
        <v>672.63157894736844</v>
      </c>
      <c r="AG30" s="387">
        <v>0.2036</v>
      </c>
      <c r="AH30" s="404">
        <v>5204.0160000000005</v>
      </c>
      <c r="AI30" s="376"/>
      <c r="AJ30" s="411">
        <v>378785.83559999999</v>
      </c>
      <c r="AK30" s="675"/>
      <c r="AL30" s="670"/>
      <c r="AM30" s="670"/>
      <c r="AN30" s="330"/>
      <c r="AO30" s="407">
        <v>21398</v>
      </c>
      <c r="AP30" s="394">
        <v>0</v>
      </c>
      <c r="AQ30" s="330">
        <v>1757.0848800000003</v>
      </c>
      <c r="AR30" s="330">
        <v>3629</v>
      </c>
      <c r="AS30" s="330">
        <v>-8415</v>
      </c>
      <c r="AU30" s="330">
        <v>2342.8320420355094</v>
      </c>
      <c r="AV30" s="330">
        <v>-2342.8320420355094</v>
      </c>
      <c r="AW30" s="676">
        <v>0</v>
      </c>
      <c r="AX30" s="668">
        <v>397154.92047999997</v>
      </c>
      <c r="AY30" s="668">
        <v>405900.48487999995</v>
      </c>
      <c r="AZ30" s="668">
        <v>-8745.5643999999738</v>
      </c>
      <c r="BA30" s="677">
        <v>2013.3077441358471</v>
      </c>
      <c r="BD30" s="668">
        <v>372127.92047999997</v>
      </c>
      <c r="BE30" s="668">
        <v>25027</v>
      </c>
      <c r="BG30" s="678">
        <v>387531.64</v>
      </c>
      <c r="BH30" s="678">
        <v>378785.83559999999</v>
      </c>
      <c r="BI30" s="678">
        <v>-8745.8044000000227</v>
      </c>
    </row>
    <row r="31" spans="1:61" ht="15" x14ac:dyDescent="0.25">
      <c r="A31" s="375" t="s">
        <v>75</v>
      </c>
      <c r="B31" s="332" t="s">
        <v>532</v>
      </c>
      <c r="C31" s="332">
        <v>2006</v>
      </c>
      <c r="D31" s="376"/>
      <c r="E31" s="403">
        <v>988</v>
      </c>
      <c r="F31" s="387">
        <v>29640</v>
      </c>
      <c r="G31" s="388">
        <v>28446</v>
      </c>
      <c r="H31" s="387">
        <v>1194</v>
      </c>
      <c r="I31" s="387">
        <v>28446</v>
      </c>
      <c r="J31" s="387" t="s">
        <v>504</v>
      </c>
      <c r="K31" s="389">
        <v>3.5636999999999999</v>
      </c>
      <c r="L31" s="404">
        <v>101373</v>
      </c>
      <c r="M31" s="380"/>
      <c r="N31" s="391">
        <v>88.421052631578959</v>
      </c>
      <c r="O31" s="387">
        <v>0.2036</v>
      </c>
      <c r="P31" s="404">
        <v>684.09600000000012</v>
      </c>
      <c r="Q31" s="380"/>
      <c r="R31" s="392">
        <v>0</v>
      </c>
      <c r="S31" s="387">
        <v>1.7611399999999999</v>
      </c>
      <c r="T31" s="405">
        <v>0</v>
      </c>
      <c r="U31" s="376"/>
      <c r="V31" s="394"/>
      <c r="W31" s="395"/>
      <c r="X31" s="406"/>
      <c r="Y31" s="395"/>
      <c r="Z31" s="407"/>
      <c r="AA31" s="376"/>
      <c r="AB31" s="408"/>
      <c r="AC31" s="409"/>
      <c r="AD31" s="410">
        <v>0</v>
      </c>
      <c r="AE31" s="376"/>
      <c r="AF31" s="392">
        <v>32.842105263157897</v>
      </c>
      <c r="AG31" s="387">
        <v>0.2036</v>
      </c>
      <c r="AH31" s="404">
        <v>254.09280000000001</v>
      </c>
      <c r="AI31" s="376"/>
      <c r="AJ31" s="411">
        <v>102311.1888</v>
      </c>
      <c r="AK31" s="675"/>
      <c r="AL31" s="670"/>
      <c r="AM31" s="670"/>
      <c r="AN31" s="330"/>
      <c r="AO31" s="407" t="s">
        <v>925</v>
      </c>
      <c r="AP31" s="394" t="s">
        <v>925</v>
      </c>
      <c r="AQ31" s="330">
        <v>0</v>
      </c>
      <c r="AR31" s="330">
        <v>0</v>
      </c>
      <c r="AS31" s="330">
        <v>2173</v>
      </c>
      <c r="AU31" s="330">
        <v>1458.1046787931525</v>
      </c>
      <c r="AV31" s="330">
        <v>-1458.1046787931525</v>
      </c>
      <c r="AW31" s="676">
        <v>0</v>
      </c>
      <c r="AX31" s="668">
        <v>104484.1888</v>
      </c>
      <c r="AY31" s="668">
        <v>104442.0076</v>
      </c>
      <c r="AZ31" s="668">
        <v>42.181200000006356</v>
      </c>
      <c r="BA31" s="677">
        <v>1198.4479255882331</v>
      </c>
      <c r="BD31" s="668">
        <v>104484.1888</v>
      </c>
      <c r="BE31" s="668">
        <v>0</v>
      </c>
      <c r="BG31" s="678">
        <v>102269.2016</v>
      </c>
      <c r="BH31" s="678">
        <v>102311.1888</v>
      </c>
      <c r="BI31" s="678">
        <v>41.987200000003213</v>
      </c>
    </row>
    <row r="32" spans="1:61" ht="15" x14ac:dyDescent="0.25">
      <c r="A32" s="375" t="s">
        <v>76</v>
      </c>
      <c r="B32" s="332" t="s">
        <v>533</v>
      </c>
      <c r="C32" s="332">
        <v>2434</v>
      </c>
      <c r="D32" s="376"/>
      <c r="E32" s="403">
        <v>1976</v>
      </c>
      <c r="F32" s="387">
        <v>59280</v>
      </c>
      <c r="G32" s="388">
        <v>52290</v>
      </c>
      <c r="H32" s="387">
        <v>6990</v>
      </c>
      <c r="I32" s="387">
        <v>52290</v>
      </c>
      <c r="J32" s="387" t="s">
        <v>504</v>
      </c>
      <c r="K32" s="389">
        <v>3.5636999999999999</v>
      </c>
      <c r="L32" s="404">
        <v>186346</v>
      </c>
      <c r="M32" s="380"/>
      <c r="N32" s="391">
        <v>2752.894736842105</v>
      </c>
      <c r="O32" s="387">
        <v>0.2036</v>
      </c>
      <c r="P32" s="404">
        <v>21298.596000000001</v>
      </c>
      <c r="Q32" s="380"/>
      <c r="R32" s="392">
        <v>34.736842105263158</v>
      </c>
      <c r="S32" s="387">
        <v>1.7611399999999999</v>
      </c>
      <c r="T32" s="405">
        <v>2324.7048</v>
      </c>
      <c r="U32" s="376"/>
      <c r="V32" s="394"/>
      <c r="W32" s="395"/>
      <c r="X32" s="406"/>
      <c r="Y32" s="395"/>
      <c r="Z32" s="407"/>
      <c r="AA32" s="376"/>
      <c r="AB32" s="408"/>
      <c r="AC32" s="409"/>
      <c r="AD32" s="410">
        <v>0</v>
      </c>
      <c r="AE32" s="376"/>
      <c r="AF32" s="392">
        <v>105.78947368421052</v>
      </c>
      <c r="AG32" s="387">
        <v>0.2036</v>
      </c>
      <c r="AH32" s="404">
        <v>818.47199999999998</v>
      </c>
      <c r="AI32" s="376"/>
      <c r="AJ32" s="411">
        <v>210787.77280000001</v>
      </c>
      <c r="AK32" s="675"/>
      <c r="AL32" s="670"/>
      <c r="AM32" s="670"/>
      <c r="AN32" s="330"/>
      <c r="AO32" s="407" t="s">
        <v>925</v>
      </c>
      <c r="AP32" s="394" t="s">
        <v>925</v>
      </c>
      <c r="AQ32" s="330">
        <v>0</v>
      </c>
      <c r="AR32" s="330">
        <v>0</v>
      </c>
      <c r="AS32" s="330">
        <v>-23399</v>
      </c>
      <c r="AU32" s="330">
        <v>2709.6702170384378</v>
      </c>
      <c r="AV32" s="330">
        <v>-2709.6702170384378</v>
      </c>
      <c r="AW32" s="676">
        <v>0</v>
      </c>
      <c r="AX32" s="668">
        <v>187388.77280000001</v>
      </c>
      <c r="AY32" s="668">
        <v>192029.51380000002</v>
      </c>
      <c r="AZ32" s="668">
        <v>-4640.7410000000091</v>
      </c>
      <c r="BA32" s="677">
        <v>2617.300067376601</v>
      </c>
      <c r="BD32" s="668">
        <v>187388.77280000001</v>
      </c>
      <c r="BE32" s="668">
        <v>0</v>
      </c>
      <c r="BG32" s="678">
        <v>215428.97580000001</v>
      </c>
      <c r="BH32" s="678">
        <v>210787.77280000001</v>
      </c>
      <c r="BI32" s="678">
        <v>-4641.2030000000086</v>
      </c>
    </row>
    <row r="33" spans="1:61" ht="15" x14ac:dyDescent="0.25">
      <c r="A33" s="375" t="s">
        <v>40</v>
      </c>
      <c r="B33" s="332" t="s">
        <v>534</v>
      </c>
      <c r="C33" s="332">
        <v>1005</v>
      </c>
      <c r="D33" s="376"/>
      <c r="E33" s="403">
        <v>1976</v>
      </c>
      <c r="F33" s="387">
        <v>59280</v>
      </c>
      <c r="G33" s="388">
        <v>51210</v>
      </c>
      <c r="H33" s="387">
        <v>8070</v>
      </c>
      <c r="I33" s="387">
        <v>51210</v>
      </c>
      <c r="J33" s="387" t="s">
        <v>507</v>
      </c>
      <c r="K33" s="324">
        <v>5.5246000000000004</v>
      </c>
      <c r="L33" s="404">
        <v>282915</v>
      </c>
      <c r="M33" s="380"/>
      <c r="N33" s="391">
        <v>3882.6315789473688</v>
      </c>
      <c r="O33" s="387">
        <v>0.2036</v>
      </c>
      <c r="P33" s="404">
        <v>30039.144</v>
      </c>
      <c r="Q33" s="380"/>
      <c r="R33" s="392">
        <v>48.94736842105263</v>
      </c>
      <c r="S33" s="387">
        <v>1.7611399999999999</v>
      </c>
      <c r="T33" s="405">
        <v>3275.7203999999997</v>
      </c>
      <c r="U33" s="376"/>
      <c r="V33" s="394"/>
      <c r="W33" s="395"/>
      <c r="X33" s="406"/>
      <c r="Y33" s="395"/>
      <c r="Z33" s="407"/>
      <c r="AA33" s="376"/>
      <c r="AB33" s="408">
        <v>1</v>
      </c>
      <c r="AC33" s="409">
        <v>100000</v>
      </c>
      <c r="AD33" s="410">
        <v>100000</v>
      </c>
      <c r="AE33" s="376"/>
      <c r="AF33" s="392">
        <v>296.84210526315792</v>
      </c>
      <c r="AG33" s="387">
        <v>0.2036</v>
      </c>
      <c r="AH33" s="404">
        <v>2296.6080000000002</v>
      </c>
      <c r="AI33" s="376"/>
      <c r="AJ33" s="411">
        <v>418526.47240000003</v>
      </c>
      <c r="AK33" s="675"/>
      <c r="AL33" s="670"/>
      <c r="AM33" s="670"/>
      <c r="AN33" s="330"/>
      <c r="AO33" s="407">
        <v>0</v>
      </c>
      <c r="AP33" s="394">
        <v>84310</v>
      </c>
      <c r="AQ33" s="330">
        <v>8936.1212400000004</v>
      </c>
      <c r="AR33" s="330">
        <v>0</v>
      </c>
      <c r="AS33" s="330">
        <v>775</v>
      </c>
      <c r="AU33" s="330">
        <v>2765.1583443498052</v>
      </c>
      <c r="AV33" s="330">
        <v>-2765.1583443498052</v>
      </c>
      <c r="AW33" s="676">
        <v>0</v>
      </c>
      <c r="AX33" s="668">
        <v>512547.59364000004</v>
      </c>
      <c r="AY33" s="668">
        <v>527449.40304</v>
      </c>
      <c r="AZ33" s="668">
        <v>-14901.809399999969</v>
      </c>
      <c r="BA33" s="677">
        <v>2340.4702525579223</v>
      </c>
      <c r="BD33" s="668">
        <v>428237.59364000004</v>
      </c>
      <c r="BE33" s="668">
        <v>84310</v>
      </c>
      <c r="BG33" s="678">
        <v>433428.30979999999</v>
      </c>
      <c r="BH33" s="678">
        <v>418526.47240000003</v>
      </c>
      <c r="BI33" s="678">
        <v>-14901.83739999996</v>
      </c>
    </row>
    <row r="34" spans="1:61" ht="15" x14ac:dyDescent="0.25">
      <c r="A34" s="375" t="s">
        <v>79</v>
      </c>
      <c r="B34" s="332" t="s">
        <v>535</v>
      </c>
      <c r="C34" s="332">
        <v>2452</v>
      </c>
      <c r="D34" s="376"/>
      <c r="E34" s="403">
        <v>988</v>
      </c>
      <c r="F34" s="387">
        <v>29640</v>
      </c>
      <c r="G34" s="388">
        <v>15990</v>
      </c>
      <c r="H34" s="387">
        <v>13650</v>
      </c>
      <c r="I34" s="387">
        <v>15990</v>
      </c>
      <c r="J34" s="387" t="s">
        <v>504</v>
      </c>
      <c r="K34" s="389">
        <v>3.5636999999999999</v>
      </c>
      <c r="L34" s="404">
        <v>56984</v>
      </c>
      <c r="M34" s="380"/>
      <c r="N34" s="391">
        <v>741.31578947368416</v>
      </c>
      <c r="O34" s="387">
        <v>0.2036</v>
      </c>
      <c r="P34" s="404">
        <v>5735.4120000000003</v>
      </c>
      <c r="Q34" s="380"/>
      <c r="R34" s="392">
        <v>0</v>
      </c>
      <c r="S34" s="387">
        <v>1.7611399999999999</v>
      </c>
      <c r="T34" s="405">
        <v>0</v>
      </c>
      <c r="U34" s="376"/>
      <c r="V34" s="394"/>
      <c r="W34" s="395"/>
      <c r="X34" s="406"/>
      <c r="Y34" s="395"/>
      <c r="Z34" s="407"/>
      <c r="AA34" s="376"/>
      <c r="AB34" s="408"/>
      <c r="AC34" s="409"/>
      <c r="AD34" s="410">
        <v>0</v>
      </c>
      <c r="AE34" s="376"/>
      <c r="AF34" s="392">
        <v>39.473684210526315</v>
      </c>
      <c r="AG34" s="387">
        <v>0.2036</v>
      </c>
      <c r="AH34" s="404">
        <v>305.40000000000003</v>
      </c>
      <c r="AI34" s="376"/>
      <c r="AJ34" s="411">
        <v>63024.811999999998</v>
      </c>
      <c r="AK34" s="675"/>
      <c r="AL34" s="670"/>
      <c r="AM34" s="670"/>
      <c r="AN34" s="330"/>
      <c r="AO34" s="407" t="s">
        <v>925</v>
      </c>
      <c r="AP34" s="394" t="s">
        <v>925</v>
      </c>
      <c r="AQ34" s="330">
        <v>0</v>
      </c>
      <c r="AR34" s="330">
        <v>0</v>
      </c>
      <c r="AS34" s="330">
        <v>-19047</v>
      </c>
      <c r="AU34" s="330">
        <v>864.68998393547417</v>
      </c>
      <c r="AV34" s="330">
        <v>-864.68998393547417</v>
      </c>
      <c r="AW34" s="676">
        <v>0</v>
      </c>
      <c r="AX34" s="668">
        <v>43977.811999999998</v>
      </c>
      <c r="AY34" s="668">
        <v>49448.287799999991</v>
      </c>
      <c r="AZ34" s="668">
        <v>-5470.4757999999929</v>
      </c>
      <c r="BA34" s="677">
        <v>936.4530099368709</v>
      </c>
      <c r="BD34" s="668">
        <v>43977.811999999998</v>
      </c>
      <c r="BE34" s="668">
        <v>0</v>
      </c>
      <c r="BG34" s="678">
        <v>68495.216799999995</v>
      </c>
      <c r="BH34" s="678">
        <v>63024.811999999998</v>
      </c>
      <c r="BI34" s="678">
        <v>-5470.4047999999966</v>
      </c>
    </row>
    <row r="35" spans="1:61" ht="15" x14ac:dyDescent="0.25">
      <c r="A35" s="415" t="s">
        <v>82</v>
      </c>
      <c r="B35" s="331" t="s">
        <v>536</v>
      </c>
      <c r="C35" s="331">
        <v>2420</v>
      </c>
      <c r="D35" s="376"/>
      <c r="E35" s="403">
        <v>1976</v>
      </c>
      <c r="F35" s="387">
        <v>59280</v>
      </c>
      <c r="G35" s="388">
        <v>45840</v>
      </c>
      <c r="H35" s="387">
        <v>13440</v>
      </c>
      <c r="I35" s="387">
        <v>45840</v>
      </c>
      <c r="J35" s="387" t="s">
        <v>504</v>
      </c>
      <c r="K35" s="389">
        <v>3.5636999999999999</v>
      </c>
      <c r="L35" s="404">
        <v>163360</v>
      </c>
      <c r="M35" s="380"/>
      <c r="N35" s="391">
        <v>3595.2631578947367</v>
      </c>
      <c r="O35" s="387">
        <v>0.2036</v>
      </c>
      <c r="P35" s="404">
        <v>27815.831999999999</v>
      </c>
      <c r="Q35" s="380"/>
      <c r="R35" s="392">
        <v>37.89473684210526</v>
      </c>
      <c r="S35" s="387">
        <v>1.7611399999999999</v>
      </c>
      <c r="T35" s="405">
        <v>2536.0415999999996</v>
      </c>
      <c r="U35" s="376"/>
      <c r="V35" s="394"/>
      <c r="W35" s="395"/>
      <c r="X35" s="406"/>
      <c r="Y35" s="395"/>
      <c r="Z35" s="407"/>
      <c r="AA35" s="376"/>
      <c r="AB35" s="408"/>
      <c r="AC35" s="409"/>
      <c r="AD35" s="410">
        <v>0</v>
      </c>
      <c r="AE35" s="376"/>
      <c r="AF35" s="392">
        <v>380.5263157894737</v>
      </c>
      <c r="AG35" s="387">
        <v>0.2036</v>
      </c>
      <c r="AH35" s="404">
        <v>2944.0560000000005</v>
      </c>
      <c r="AI35" s="376"/>
      <c r="AJ35" s="411">
        <v>196655.9296</v>
      </c>
      <c r="AK35" s="675"/>
      <c r="AL35" s="670"/>
      <c r="AM35" s="670"/>
      <c r="AN35" s="330"/>
      <c r="AO35" s="407" t="s">
        <v>925</v>
      </c>
      <c r="AP35" s="394" t="s">
        <v>925</v>
      </c>
      <c r="AQ35" s="330">
        <v>0</v>
      </c>
      <c r="AR35" s="330">
        <v>0</v>
      </c>
      <c r="AS35" s="330">
        <v>6198</v>
      </c>
      <c r="AU35" s="330">
        <v>2207.1943974966111</v>
      </c>
      <c r="AV35" s="330">
        <v>-2207.1943974966111</v>
      </c>
      <c r="AW35" s="676">
        <v>0</v>
      </c>
      <c r="AX35" s="668">
        <v>202853.9296</v>
      </c>
      <c r="AY35" s="668">
        <v>192223.69620000001</v>
      </c>
      <c r="AZ35" s="668">
        <v>10630.233399999997</v>
      </c>
      <c r="BA35" s="677">
        <v>1831.8451382499188</v>
      </c>
      <c r="BD35" s="668">
        <v>202853.9296</v>
      </c>
      <c r="BE35" s="668">
        <v>0</v>
      </c>
      <c r="BG35" s="678">
        <v>186026.14420000001</v>
      </c>
      <c r="BH35" s="678">
        <v>196655.9296</v>
      </c>
      <c r="BI35" s="678">
        <v>10629.785399999993</v>
      </c>
    </row>
    <row r="36" spans="1:61" ht="15" x14ac:dyDescent="0.25">
      <c r="A36" s="375" t="s">
        <v>83</v>
      </c>
      <c r="B36" s="332" t="s">
        <v>537</v>
      </c>
      <c r="C36" s="332">
        <v>2473</v>
      </c>
      <c r="D36" s="376"/>
      <c r="E36" s="403">
        <v>1482</v>
      </c>
      <c r="F36" s="387">
        <v>44460</v>
      </c>
      <c r="G36" s="388">
        <v>41670</v>
      </c>
      <c r="H36" s="387">
        <v>2790</v>
      </c>
      <c r="I36" s="387">
        <v>41670</v>
      </c>
      <c r="J36" s="387" t="s">
        <v>504</v>
      </c>
      <c r="K36" s="389">
        <v>3.5636999999999999</v>
      </c>
      <c r="L36" s="404">
        <v>148499</v>
      </c>
      <c r="M36" s="380"/>
      <c r="N36" s="391">
        <v>1756.5789473684213</v>
      </c>
      <c r="O36" s="387">
        <v>0.2036</v>
      </c>
      <c r="P36" s="404">
        <v>13590.300000000003</v>
      </c>
      <c r="Q36" s="380"/>
      <c r="R36" s="392">
        <v>19.736842105263158</v>
      </c>
      <c r="S36" s="387">
        <v>1.7611399999999999</v>
      </c>
      <c r="T36" s="405">
        <v>1320.855</v>
      </c>
      <c r="U36" s="376"/>
      <c r="V36" s="394"/>
      <c r="W36" s="395"/>
      <c r="X36" s="406"/>
      <c r="Y36" s="395"/>
      <c r="Z36" s="407"/>
      <c r="AA36" s="376"/>
      <c r="AB36" s="408"/>
      <c r="AC36" s="409"/>
      <c r="AD36" s="410">
        <v>0</v>
      </c>
      <c r="AE36" s="376"/>
      <c r="AF36" s="392">
        <v>64.736842105263165</v>
      </c>
      <c r="AG36" s="387">
        <v>0.2036</v>
      </c>
      <c r="AH36" s="404">
        <v>500.85600000000005</v>
      </c>
      <c r="AI36" s="376"/>
      <c r="AJ36" s="411">
        <v>163911.011</v>
      </c>
      <c r="AK36" s="675"/>
      <c r="AL36" s="670"/>
      <c r="AM36" s="670"/>
      <c r="AN36" s="330"/>
      <c r="AO36" s="407" t="s">
        <v>925</v>
      </c>
      <c r="AP36" s="394" t="s">
        <v>925</v>
      </c>
      <c r="AQ36" s="330">
        <v>0</v>
      </c>
      <c r="AR36" s="330">
        <v>0</v>
      </c>
      <c r="AS36" s="330">
        <v>6908</v>
      </c>
      <c r="AU36" s="330">
        <v>2167.1196388828462</v>
      </c>
      <c r="AV36" s="330">
        <v>-2167.1196388828462</v>
      </c>
      <c r="AW36" s="676">
        <v>0</v>
      </c>
      <c r="AX36" s="668">
        <v>170819.011</v>
      </c>
      <c r="AY36" s="668">
        <v>176994.32419999997</v>
      </c>
      <c r="AZ36" s="668">
        <v>-6175.313199999975</v>
      </c>
      <c r="BA36" s="677">
        <v>1838.4678610924711</v>
      </c>
      <c r="BD36" s="668">
        <v>170819.011</v>
      </c>
      <c r="BE36" s="668">
        <v>0</v>
      </c>
      <c r="BG36" s="678">
        <v>170086.45819999999</v>
      </c>
      <c r="BH36" s="678">
        <v>163911.011</v>
      </c>
      <c r="BI36" s="678">
        <v>-6175.4471999999951</v>
      </c>
    </row>
    <row r="37" spans="1:61" ht="15" x14ac:dyDescent="0.25">
      <c r="A37" s="375" t="s">
        <v>85</v>
      </c>
      <c r="B37" s="332" t="s">
        <v>538</v>
      </c>
      <c r="C37" s="332">
        <v>2003</v>
      </c>
      <c r="D37" s="376"/>
      <c r="E37" s="403">
        <v>988</v>
      </c>
      <c r="F37" s="387">
        <v>29640</v>
      </c>
      <c r="G37" s="388">
        <v>28380</v>
      </c>
      <c r="H37" s="387">
        <v>1260</v>
      </c>
      <c r="I37" s="387">
        <v>28380</v>
      </c>
      <c r="J37" s="387" t="s">
        <v>504</v>
      </c>
      <c r="K37" s="389">
        <v>3.5636999999999999</v>
      </c>
      <c r="L37" s="404">
        <v>101138</v>
      </c>
      <c r="M37" s="380"/>
      <c r="N37" s="391">
        <v>60</v>
      </c>
      <c r="O37" s="387">
        <v>0.2036</v>
      </c>
      <c r="P37" s="404">
        <v>464.20800000000003</v>
      </c>
      <c r="Q37" s="380"/>
      <c r="R37" s="392">
        <v>0</v>
      </c>
      <c r="S37" s="387">
        <v>1.7611399999999999</v>
      </c>
      <c r="T37" s="405">
        <v>0</v>
      </c>
      <c r="U37" s="376"/>
      <c r="V37" s="394"/>
      <c r="W37" s="395"/>
      <c r="X37" s="406"/>
      <c r="Y37" s="395"/>
      <c r="Z37" s="407"/>
      <c r="AA37" s="376"/>
      <c r="AB37" s="408"/>
      <c r="AC37" s="409"/>
      <c r="AD37" s="410">
        <v>0</v>
      </c>
      <c r="AE37" s="376"/>
      <c r="AF37" s="392">
        <v>20.526315789473685</v>
      </c>
      <c r="AG37" s="387">
        <v>0.2036</v>
      </c>
      <c r="AH37" s="404">
        <v>158.80799999999999</v>
      </c>
      <c r="AI37" s="376"/>
      <c r="AJ37" s="411">
        <v>101761.016</v>
      </c>
      <c r="AK37" s="675"/>
      <c r="AL37" s="670"/>
      <c r="AM37" s="670"/>
      <c r="AN37" s="330"/>
      <c r="AO37" s="407" t="s">
        <v>925</v>
      </c>
      <c r="AP37" s="394" t="s">
        <v>925</v>
      </c>
      <c r="AQ37" s="330">
        <v>0</v>
      </c>
      <c r="AR37" s="330">
        <v>0</v>
      </c>
      <c r="AS37" s="330">
        <v>0</v>
      </c>
      <c r="AU37" s="330">
        <v>1522.8408273230809</v>
      </c>
      <c r="AV37" s="330">
        <v>-1522.8408273230809</v>
      </c>
      <c r="AW37" s="676">
        <v>0</v>
      </c>
      <c r="AX37" s="668">
        <v>101761.016</v>
      </c>
      <c r="AY37" s="668">
        <v>106128.924</v>
      </c>
      <c r="AZ37" s="668">
        <v>-4367.9079999999958</v>
      </c>
      <c r="BA37" s="677">
        <v>1308.6500336883005</v>
      </c>
      <c r="BD37" s="668">
        <v>101761.016</v>
      </c>
      <c r="BE37" s="668">
        <v>0</v>
      </c>
      <c r="BG37" s="678">
        <v>106128.856</v>
      </c>
      <c r="BH37" s="678">
        <v>101761.016</v>
      </c>
      <c r="BI37" s="678">
        <v>-4367.8399999999965</v>
      </c>
    </row>
    <row r="38" spans="1:61" ht="15" x14ac:dyDescent="0.25">
      <c r="A38" s="375" t="s">
        <v>90</v>
      </c>
      <c r="B38" s="332" t="s">
        <v>539</v>
      </c>
      <c r="C38" s="332">
        <v>2462</v>
      </c>
      <c r="D38" s="376"/>
      <c r="E38" s="403">
        <v>988</v>
      </c>
      <c r="F38" s="387">
        <v>29640</v>
      </c>
      <c r="G38" s="388">
        <v>28098</v>
      </c>
      <c r="H38" s="387">
        <v>1542</v>
      </c>
      <c r="I38" s="387">
        <v>28098</v>
      </c>
      <c r="J38" s="387" t="s">
        <v>504</v>
      </c>
      <c r="K38" s="389">
        <v>3.5636999999999999</v>
      </c>
      <c r="L38" s="404">
        <v>100133</v>
      </c>
      <c r="M38" s="380"/>
      <c r="N38" s="391">
        <v>281.05263157894734</v>
      </c>
      <c r="O38" s="387">
        <v>0.2036</v>
      </c>
      <c r="P38" s="404">
        <v>2174.4479999999999</v>
      </c>
      <c r="Q38" s="380"/>
      <c r="R38" s="392">
        <v>0</v>
      </c>
      <c r="S38" s="387">
        <v>1.7611399999999999</v>
      </c>
      <c r="T38" s="405">
        <v>0</v>
      </c>
      <c r="U38" s="376"/>
      <c r="V38" s="394"/>
      <c r="W38" s="395"/>
      <c r="X38" s="406"/>
      <c r="Y38" s="395"/>
      <c r="Z38" s="407"/>
      <c r="AA38" s="376"/>
      <c r="AB38" s="408"/>
      <c r="AC38" s="409"/>
      <c r="AD38" s="410">
        <v>0</v>
      </c>
      <c r="AE38" s="376"/>
      <c r="AF38" s="392">
        <v>165.78947368421052</v>
      </c>
      <c r="AG38" s="387">
        <v>0.2036</v>
      </c>
      <c r="AH38" s="404">
        <v>1282.6799999999998</v>
      </c>
      <c r="AI38" s="376"/>
      <c r="AJ38" s="411">
        <v>103590.128</v>
      </c>
      <c r="AK38" s="675"/>
      <c r="AL38" s="670"/>
      <c r="AM38" s="670"/>
      <c r="AN38" s="330"/>
      <c r="AO38" s="407" t="s">
        <v>925</v>
      </c>
      <c r="AP38" s="394" t="s">
        <v>925</v>
      </c>
      <c r="AQ38" s="330">
        <v>0</v>
      </c>
      <c r="AR38" s="330">
        <v>0</v>
      </c>
      <c r="AS38" s="330">
        <v>-2914</v>
      </c>
      <c r="AU38" s="330">
        <v>1519.1416188356566</v>
      </c>
      <c r="AV38" s="330">
        <v>-1519.1416188356566</v>
      </c>
      <c r="AW38" s="676">
        <v>0</v>
      </c>
      <c r="AX38" s="668">
        <v>100676.128</v>
      </c>
      <c r="AY38" s="668">
        <v>104248.958</v>
      </c>
      <c r="AZ38" s="668">
        <v>-3572.8300000000017</v>
      </c>
      <c r="BA38" s="677">
        <v>1266.7944253233713</v>
      </c>
      <c r="BD38" s="668">
        <v>100676.128</v>
      </c>
      <c r="BE38" s="668">
        <v>0</v>
      </c>
      <c r="BG38" s="678">
        <v>107162.4764</v>
      </c>
      <c r="BH38" s="678">
        <v>103590.128</v>
      </c>
      <c r="BI38" s="678">
        <v>-3572.3484000000026</v>
      </c>
    </row>
    <row r="39" spans="1:61" ht="15" x14ac:dyDescent="0.25">
      <c r="A39" s="415" t="s">
        <v>92</v>
      </c>
      <c r="B39" s="417" t="s">
        <v>540</v>
      </c>
      <c r="C39" s="417">
        <v>2505</v>
      </c>
      <c r="D39" s="376"/>
      <c r="E39" s="403">
        <v>1900</v>
      </c>
      <c r="F39" s="387">
        <v>57000</v>
      </c>
      <c r="G39" s="388">
        <v>45882</v>
      </c>
      <c r="H39" s="387">
        <v>11118</v>
      </c>
      <c r="I39" s="387">
        <v>45882</v>
      </c>
      <c r="J39" s="387" t="s">
        <v>504</v>
      </c>
      <c r="K39" s="389">
        <v>3.5636999999999999</v>
      </c>
      <c r="L39" s="404">
        <v>163510</v>
      </c>
      <c r="M39" s="380"/>
      <c r="N39" s="391">
        <v>2462.5263157894738</v>
      </c>
      <c r="O39" s="387">
        <v>0.2036</v>
      </c>
      <c r="P39" s="404">
        <v>19052.0736</v>
      </c>
      <c r="Q39" s="380"/>
      <c r="R39" s="392">
        <v>45</v>
      </c>
      <c r="S39" s="387">
        <v>1.7611399999999999</v>
      </c>
      <c r="T39" s="405">
        <v>3011.5493999999999</v>
      </c>
      <c r="U39" s="376"/>
      <c r="V39" s="394"/>
      <c r="W39" s="395"/>
      <c r="X39" s="406"/>
      <c r="Y39" s="395"/>
      <c r="Z39" s="407"/>
      <c r="AA39" s="376"/>
      <c r="AB39" s="408"/>
      <c r="AC39" s="409"/>
      <c r="AD39" s="410">
        <v>0</v>
      </c>
      <c r="AE39" s="376"/>
      <c r="AF39" s="392">
        <v>335.5263157894737</v>
      </c>
      <c r="AG39" s="387">
        <v>0.2036</v>
      </c>
      <c r="AH39" s="404">
        <v>2595.9</v>
      </c>
      <c r="AI39" s="376"/>
      <c r="AJ39" s="411">
        <v>188169.52299999999</v>
      </c>
      <c r="AK39" s="675"/>
      <c r="AL39" s="670"/>
      <c r="AM39" s="670"/>
      <c r="AN39" s="330"/>
      <c r="AO39" s="407" t="s">
        <v>925</v>
      </c>
      <c r="AP39" s="394" t="s">
        <v>925</v>
      </c>
      <c r="AQ39" s="330">
        <v>0</v>
      </c>
      <c r="AR39" s="330">
        <v>0</v>
      </c>
      <c r="AS39" s="330">
        <v>-12850</v>
      </c>
      <c r="AU39" s="330">
        <v>2578.6565831088205</v>
      </c>
      <c r="AV39" s="330">
        <v>-2578.6565831088205</v>
      </c>
      <c r="AW39" s="676">
        <v>0</v>
      </c>
      <c r="AX39" s="668">
        <v>175319.52299999999</v>
      </c>
      <c r="AY39" s="668">
        <v>191378.01620000001</v>
      </c>
      <c r="AZ39" s="668">
        <v>-16058.493200000026</v>
      </c>
      <c r="BA39" s="677">
        <v>2307.3566383451616</v>
      </c>
      <c r="BD39" s="668">
        <v>175319.52299999999</v>
      </c>
      <c r="BE39" s="668">
        <v>0</v>
      </c>
      <c r="BG39" s="678">
        <v>204227.91320000001</v>
      </c>
      <c r="BH39" s="678">
        <v>188169.52299999999</v>
      </c>
      <c r="BI39" s="678">
        <v>-16058.390200000023</v>
      </c>
    </row>
    <row r="40" spans="1:61" ht="15" x14ac:dyDescent="0.25">
      <c r="A40" s="375" t="s">
        <v>93</v>
      </c>
      <c r="B40" s="332" t="s">
        <v>541</v>
      </c>
      <c r="C40" s="332">
        <v>2000</v>
      </c>
      <c r="D40" s="376"/>
      <c r="E40" s="403">
        <v>988</v>
      </c>
      <c r="F40" s="387">
        <v>29640</v>
      </c>
      <c r="G40" s="388">
        <v>23820</v>
      </c>
      <c r="H40" s="387">
        <v>5820</v>
      </c>
      <c r="I40" s="387">
        <v>23820</v>
      </c>
      <c r="J40" s="387" t="s">
        <v>504</v>
      </c>
      <c r="K40" s="389">
        <v>3.5636999999999999</v>
      </c>
      <c r="L40" s="404">
        <v>84887</v>
      </c>
      <c r="M40" s="380"/>
      <c r="N40" s="391">
        <v>686.84210526315792</v>
      </c>
      <c r="O40" s="387">
        <v>0.2036</v>
      </c>
      <c r="P40" s="404">
        <v>5313.96</v>
      </c>
      <c r="Q40" s="380"/>
      <c r="R40" s="392">
        <v>5.5263157894736841</v>
      </c>
      <c r="S40" s="387">
        <v>1.7611399999999999</v>
      </c>
      <c r="T40" s="405">
        <v>369.83939999999996</v>
      </c>
      <c r="U40" s="376"/>
      <c r="V40" s="394"/>
      <c r="W40" s="395"/>
      <c r="X40" s="406"/>
      <c r="Y40" s="395"/>
      <c r="Z40" s="407"/>
      <c r="AA40" s="376"/>
      <c r="AB40" s="408"/>
      <c r="AC40" s="409"/>
      <c r="AD40" s="410">
        <v>0</v>
      </c>
      <c r="AE40" s="376"/>
      <c r="AF40" s="392">
        <v>75</v>
      </c>
      <c r="AG40" s="387">
        <v>0.2036</v>
      </c>
      <c r="AH40" s="404">
        <v>580.26</v>
      </c>
      <c r="AI40" s="376"/>
      <c r="AJ40" s="411">
        <v>91151.059399999998</v>
      </c>
      <c r="AK40" s="675"/>
      <c r="AL40" s="670"/>
      <c r="AM40" s="670"/>
      <c r="AN40" s="330"/>
      <c r="AO40" s="407" t="s">
        <v>925</v>
      </c>
      <c r="AP40" s="394" t="s">
        <v>925</v>
      </c>
      <c r="AQ40" s="330">
        <v>0</v>
      </c>
      <c r="AR40" s="330">
        <v>0</v>
      </c>
      <c r="AS40" s="330">
        <v>16285</v>
      </c>
      <c r="AU40" s="330">
        <v>1243.8588538964841</v>
      </c>
      <c r="AV40" s="330">
        <v>-1243.8588538964841</v>
      </c>
      <c r="AW40" s="676">
        <v>0</v>
      </c>
      <c r="AX40" s="668">
        <v>107436.0594</v>
      </c>
      <c r="AY40" s="668">
        <v>109651.7326</v>
      </c>
      <c r="AZ40" s="668">
        <v>-2215.6732000000047</v>
      </c>
      <c r="BA40" s="677">
        <v>792.07765196923458</v>
      </c>
      <c r="BD40" s="668">
        <v>107436.0594</v>
      </c>
      <c r="BE40" s="668">
        <v>0</v>
      </c>
      <c r="BG40" s="678">
        <v>93366.555599999992</v>
      </c>
      <c r="BH40" s="678">
        <v>91151.059399999998</v>
      </c>
      <c r="BI40" s="678">
        <v>-2215.4961999999941</v>
      </c>
    </row>
    <row r="41" spans="1:61" ht="15" x14ac:dyDescent="0.25">
      <c r="A41" s="375" t="s">
        <v>95</v>
      </c>
      <c r="B41" s="332" t="s">
        <v>542</v>
      </c>
      <c r="C41" s="332">
        <v>2001</v>
      </c>
      <c r="D41" s="376"/>
      <c r="E41" s="403">
        <v>1976</v>
      </c>
      <c r="F41" s="387">
        <v>59280</v>
      </c>
      <c r="G41" s="388">
        <v>32115</v>
      </c>
      <c r="H41" s="387">
        <v>27165</v>
      </c>
      <c r="I41" s="387">
        <v>32115</v>
      </c>
      <c r="J41" s="387" t="s">
        <v>504</v>
      </c>
      <c r="K41" s="389">
        <v>3.5636999999999999</v>
      </c>
      <c r="L41" s="404">
        <v>114448</v>
      </c>
      <c r="M41" s="380"/>
      <c r="N41" s="391">
        <v>1966.1842105263156</v>
      </c>
      <c r="O41" s="387">
        <v>0.2036</v>
      </c>
      <c r="P41" s="404">
        <v>15211.973999999998</v>
      </c>
      <c r="Q41" s="380"/>
      <c r="R41" s="392">
        <v>64.736842105263165</v>
      </c>
      <c r="S41" s="387">
        <v>1.7611399999999999</v>
      </c>
      <c r="T41" s="405">
        <v>4332.4044000000004</v>
      </c>
      <c r="U41" s="376"/>
      <c r="V41" s="394"/>
      <c r="W41" s="395"/>
      <c r="X41" s="406"/>
      <c r="Y41" s="395"/>
      <c r="Z41" s="407"/>
      <c r="AA41" s="376"/>
      <c r="AB41" s="408"/>
      <c r="AC41" s="409"/>
      <c r="AD41" s="410">
        <v>0</v>
      </c>
      <c r="AE41" s="376"/>
      <c r="AF41" s="392">
        <v>34.736842105263158</v>
      </c>
      <c r="AG41" s="387">
        <v>0.2036</v>
      </c>
      <c r="AH41" s="404">
        <v>268.75200000000001</v>
      </c>
      <c r="AI41" s="376"/>
      <c r="AJ41" s="411">
        <v>134261.13039999999</v>
      </c>
      <c r="AK41" s="675"/>
      <c r="AL41" s="670"/>
      <c r="AM41" s="670"/>
      <c r="AN41" s="330"/>
      <c r="AO41" s="407" t="s">
        <v>925</v>
      </c>
      <c r="AP41" s="394" t="s">
        <v>925</v>
      </c>
      <c r="AQ41" s="330">
        <v>0</v>
      </c>
      <c r="AR41" s="330">
        <v>0</v>
      </c>
      <c r="AS41" s="330">
        <v>-28182</v>
      </c>
      <c r="AU41" s="330">
        <v>1661.5611456014994</v>
      </c>
      <c r="AV41" s="330">
        <v>-1661.5611456014994</v>
      </c>
      <c r="AW41" s="676">
        <v>0</v>
      </c>
      <c r="AX41" s="668">
        <v>106079.13039999999</v>
      </c>
      <c r="AY41" s="668">
        <v>108353.2164</v>
      </c>
      <c r="AZ41" s="668">
        <v>-2274.0860000000102</v>
      </c>
      <c r="BA41" s="677">
        <v>1586.80439307549</v>
      </c>
      <c r="BD41" s="668">
        <v>106079.13039999999</v>
      </c>
      <c r="BE41" s="668">
        <v>0</v>
      </c>
      <c r="BG41" s="678">
        <v>136535.15840000001</v>
      </c>
      <c r="BH41" s="678">
        <v>134261.13039999999</v>
      </c>
      <c r="BI41" s="678">
        <v>-2274.0280000000203</v>
      </c>
    </row>
    <row r="42" spans="1:61" ht="15" x14ac:dyDescent="0.25">
      <c r="A42" s="375" t="s">
        <v>96</v>
      </c>
      <c r="B42" s="332" t="s">
        <v>543</v>
      </c>
      <c r="C42" s="332">
        <v>2429</v>
      </c>
      <c r="D42" s="376"/>
      <c r="E42" s="403">
        <v>1482</v>
      </c>
      <c r="F42" s="387">
        <v>44460</v>
      </c>
      <c r="G42" s="388">
        <v>28380</v>
      </c>
      <c r="H42" s="387">
        <v>16080</v>
      </c>
      <c r="I42" s="387">
        <v>28380</v>
      </c>
      <c r="J42" s="387" t="s">
        <v>504</v>
      </c>
      <c r="K42" s="389">
        <v>3.5636999999999999</v>
      </c>
      <c r="L42" s="404">
        <v>101138</v>
      </c>
      <c r="M42" s="380"/>
      <c r="N42" s="391">
        <v>2183.6842105263158</v>
      </c>
      <c r="O42" s="387">
        <v>0.2036</v>
      </c>
      <c r="P42" s="404">
        <v>16894.727999999999</v>
      </c>
      <c r="Q42" s="380"/>
      <c r="R42" s="392">
        <v>0</v>
      </c>
      <c r="S42" s="387">
        <v>1.7611399999999999</v>
      </c>
      <c r="T42" s="405">
        <v>0</v>
      </c>
      <c r="U42" s="376"/>
      <c r="V42" s="394"/>
      <c r="W42" s="395"/>
      <c r="X42" s="406"/>
      <c r="Y42" s="395"/>
      <c r="Z42" s="407"/>
      <c r="AA42" s="376"/>
      <c r="AB42" s="408"/>
      <c r="AC42" s="409"/>
      <c r="AD42" s="410">
        <v>0</v>
      </c>
      <c r="AE42" s="376"/>
      <c r="AF42" s="392">
        <v>563.68421052631584</v>
      </c>
      <c r="AG42" s="387">
        <v>0.2036</v>
      </c>
      <c r="AH42" s="404">
        <v>4361.112000000001</v>
      </c>
      <c r="AI42" s="376"/>
      <c r="AJ42" s="411">
        <v>122393.84</v>
      </c>
      <c r="AK42" s="675"/>
      <c r="AL42" s="670"/>
      <c r="AM42" s="670"/>
      <c r="AN42" s="330"/>
      <c r="AO42" s="407" t="s">
        <v>925</v>
      </c>
      <c r="AP42" s="394" t="s">
        <v>925</v>
      </c>
      <c r="AQ42" s="330">
        <v>0</v>
      </c>
      <c r="AR42" s="330">
        <v>0</v>
      </c>
      <c r="AS42" s="330">
        <v>-10024</v>
      </c>
      <c r="AU42" s="330">
        <v>1752.5000209173513</v>
      </c>
      <c r="AV42" s="330">
        <v>-1752.5000209173513</v>
      </c>
      <c r="AW42" s="676">
        <v>0</v>
      </c>
      <c r="AX42" s="668">
        <v>112369.84</v>
      </c>
      <c r="AY42" s="668">
        <v>134931.11180000001</v>
      </c>
      <c r="AZ42" s="668">
        <v>-22561.271800000017</v>
      </c>
      <c r="BA42" s="677">
        <v>1435.8063122653014</v>
      </c>
      <c r="BD42" s="668">
        <v>112369.84</v>
      </c>
      <c r="BE42" s="668">
        <v>0</v>
      </c>
      <c r="BG42" s="678">
        <v>144955.30479999998</v>
      </c>
      <c r="BH42" s="678">
        <v>122393.84</v>
      </c>
      <c r="BI42" s="678">
        <v>-22561.464799999987</v>
      </c>
    </row>
    <row r="43" spans="1:61" ht="15" x14ac:dyDescent="0.25">
      <c r="A43" s="375" t="s">
        <v>97</v>
      </c>
      <c r="B43" s="332" t="s">
        <v>544</v>
      </c>
      <c r="C43" s="332">
        <v>2444</v>
      </c>
      <c r="D43" s="376"/>
      <c r="E43" s="403">
        <v>988</v>
      </c>
      <c r="F43" s="387">
        <v>29640</v>
      </c>
      <c r="G43" s="388">
        <v>28860</v>
      </c>
      <c r="H43" s="387">
        <v>780</v>
      </c>
      <c r="I43" s="387">
        <v>28860</v>
      </c>
      <c r="J43" s="387" t="s">
        <v>504</v>
      </c>
      <c r="K43" s="389">
        <v>3.5636999999999999</v>
      </c>
      <c r="L43" s="404">
        <v>102848</v>
      </c>
      <c r="M43" s="380"/>
      <c r="N43" s="391">
        <v>1192.8947368421052</v>
      </c>
      <c r="O43" s="387">
        <v>0.2036</v>
      </c>
      <c r="P43" s="404">
        <v>9229.1880000000001</v>
      </c>
      <c r="Q43" s="380"/>
      <c r="R43" s="392">
        <v>25.263157894736842</v>
      </c>
      <c r="S43" s="387">
        <v>1.7611399999999999</v>
      </c>
      <c r="T43" s="405">
        <v>1690.6944000000001</v>
      </c>
      <c r="U43" s="376"/>
      <c r="V43" s="394"/>
      <c r="W43" s="395"/>
      <c r="X43" s="406"/>
      <c r="Y43" s="395"/>
      <c r="Z43" s="407"/>
      <c r="AA43" s="376"/>
      <c r="AB43" s="408"/>
      <c r="AC43" s="409"/>
      <c r="AD43" s="410">
        <v>0</v>
      </c>
      <c r="AE43" s="376"/>
      <c r="AF43" s="392">
        <v>105</v>
      </c>
      <c r="AG43" s="387">
        <v>0.2036</v>
      </c>
      <c r="AH43" s="404">
        <v>812.36400000000003</v>
      </c>
      <c r="AI43" s="376"/>
      <c r="AJ43" s="411">
        <v>114580.2464</v>
      </c>
      <c r="AK43" s="675"/>
      <c r="AL43" s="670"/>
      <c r="AM43" s="670"/>
      <c r="AN43" s="330"/>
      <c r="AO43" s="407" t="s">
        <v>925</v>
      </c>
      <c r="AP43" s="394" t="s">
        <v>925</v>
      </c>
      <c r="AQ43" s="330">
        <v>0</v>
      </c>
      <c r="AR43" s="330">
        <v>0</v>
      </c>
      <c r="AS43" s="330">
        <v>-2163</v>
      </c>
      <c r="AU43" s="330">
        <v>1513.5928061045197</v>
      </c>
      <c r="AV43" s="330">
        <v>-1513.5928061045197</v>
      </c>
      <c r="AW43" s="676">
        <v>0</v>
      </c>
      <c r="AX43" s="668">
        <v>112417.2464</v>
      </c>
      <c r="AY43" s="668">
        <v>115358.1342</v>
      </c>
      <c r="AZ43" s="668">
        <v>-2940.8877999999968</v>
      </c>
      <c r="BA43" s="677">
        <v>1305.4711267238756</v>
      </c>
      <c r="BD43" s="668">
        <v>112417.2464</v>
      </c>
      <c r="BE43" s="668">
        <v>0</v>
      </c>
      <c r="BG43" s="678">
        <v>117521.5322</v>
      </c>
      <c r="BH43" s="678">
        <v>114580.2464</v>
      </c>
      <c r="BI43" s="678">
        <v>-2941.2857999999978</v>
      </c>
    </row>
    <row r="44" spans="1:61" ht="15" x14ac:dyDescent="0.25">
      <c r="A44" s="375" t="s">
        <v>100</v>
      </c>
      <c r="B44" s="332" t="s">
        <v>545</v>
      </c>
      <c r="C44" s="332">
        <v>2430</v>
      </c>
      <c r="D44" s="376"/>
      <c r="E44" s="403">
        <v>988</v>
      </c>
      <c r="F44" s="387">
        <v>29640</v>
      </c>
      <c r="G44" s="388">
        <v>12606</v>
      </c>
      <c r="H44" s="387">
        <v>17034</v>
      </c>
      <c r="I44" s="387">
        <v>12606</v>
      </c>
      <c r="J44" s="387" t="s">
        <v>504</v>
      </c>
      <c r="K44" s="389">
        <v>3.5636999999999999</v>
      </c>
      <c r="L44" s="404">
        <v>44924</v>
      </c>
      <c r="M44" s="380"/>
      <c r="N44" s="391">
        <v>953.36842105263156</v>
      </c>
      <c r="O44" s="387">
        <v>0.2036</v>
      </c>
      <c r="P44" s="404">
        <v>7376.0208000000002</v>
      </c>
      <c r="Q44" s="380"/>
      <c r="R44" s="392">
        <v>9.473684210526315</v>
      </c>
      <c r="S44" s="387">
        <v>1.7611399999999999</v>
      </c>
      <c r="T44" s="405">
        <v>634.01039999999989</v>
      </c>
      <c r="U44" s="376"/>
      <c r="V44" s="394"/>
      <c r="W44" s="395"/>
      <c r="X44" s="406"/>
      <c r="Y44" s="395"/>
      <c r="Z44" s="407"/>
      <c r="AA44" s="376"/>
      <c r="AB44" s="408"/>
      <c r="AC44" s="409"/>
      <c r="AD44" s="410">
        <v>0</v>
      </c>
      <c r="AE44" s="376"/>
      <c r="AF44" s="392">
        <v>153.94736842105263</v>
      </c>
      <c r="AG44" s="387">
        <v>0.2036</v>
      </c>
      <c r="AH44" s="404">
        <v>1191.06</v>
      </c>
      <c r="AI44" s="376"/>
      <c r="AJ44" s="411">
        <v>54125.091200000003</v>
      </c>
      <c r="AK44" s="675"/>
      <c r="AL44" s="670"/>
      <c r="AM44" s="670"/>
      <c r="AN44" s="330"/>
      <c r="AO44" s="407" t="s">
        <v>925</v>
      </c>
      <c r="AP44" s="394" t="s">
        <v>925</v>
      </c>
      <c r="AQ44" s="330">
        <v>0</v>
      </c>
      <c r="AR44" s="330">
        <v>0</v>
      </c>
      <c r="AS44" s="330">
        <v>-8801</v>
      </c>
      <c r="AU44" s="330">
        <v>611.91073729480081</v>
      </c>
      <c r="AV44" s="330">
        <v>-611.91073729480081</v>
      </c>
      <c r="AW44" s="676">
        <v>0</v>
      </c>
      <c r="AX44" s="668">
        <v>45324.091200000003</v>
      </c>
      <c r="AY44" s="668">
        <v>41373.562599999997</v>
      </c>
      <c r="AZ44" s="668">
        <v>3950.5286000000051</v>
      </c>
      <c r="BA44" s="677">
        <v>531.14237197268062</v>
      </c>
      <c r="BD44" s="668">
        <v>45324.091200000003</v>
      </c>
      <c r="BE44" s="668">
        <v>0</v>
      </c>
      <c r="BG44" s="678">
        <v>50174.895600000003</v>
      </c>
      <c r="BH44" s="678">
        <v>54125.091200000003</v>
      </c>
      <c r="BI44" s="678">
        <v>3950.1955999999991</v>
      </c>
    </row>
    <row r="45" spans="1:61" ht="15" x14ac:dyDescent="0.25">
      <c r="A45" s="375" t="s">
        <v>102</v>
      </c>
      <c r="B45" s="332" t="s">
        <v>546</v>
      </c>
      <c r="C45" s="332">
        <v>3543</v>
      </c>
      <c r="D45" s="376"/>
      <c r="E45" s="403">
        <v>1482</v>
      </c>
      <c r="F45" s="387">
        <v>44460</v>
      </c>
      <c r="G45" s="388">
        <v>27534</v>
      </c>
      <c r="H45" s="387">
        <v>16926</v>
      </c>
      <c r="I45" s="387">
        <v>27534</v>
      </c>
      <c r="J45" s="387" t="s">
        <v>504</v>
      </c>
      <c r="K45" s="389">
        <v>3.5636999999999999</v>
      </c>
      <c r="L45" s="404">
        <v>98123</v>
      </c>
      <c r="M45" s="380"/>
      <c r="N45" s="391">
        <v>572.21052631578948</v>
      </c>
      <c r="O45" s="387">
        <v>0.2036</v>
      </c>
      <c r="P45" s="404">
        <v>4427.0784000000003</v>
      </c>
      <c r="Q45" s="380"/>
      <c r="R45" s="392">
        <v>0</v>
      </c>
      <c r="S45" s="387">
        <v>1.7611399999999999</v>
      </c>
      <c r="T45" s="405">
        <v>0</v>
      </c>
      <c r="U45" s="376"/>
      <c r="V45" s="394"/>
      <c r="W45" s="395"/>
      <c r="X45" s="406"/>
      <c r="Y45" s="395"/>
      <c r="Z45" s="407"/>
      <c r="AA45" s="376"/>
      <c r="AB45" s="408"/>
      <c r="AC45" s="409"/>
      <c r="AD45" s="410">
        <v>0</v>
      </c>
      <c r="AE45" s="376"/>
      <c r="AF45" s="392">
        <v>145.26315789473685</v>
      </c>
      <c r="AG45" s="387">
        <v>0.2036</v>
      </c>
      <c r="AH45" s="404">
        <v>1123.8720000000001</v>
      </c>
      <c r="AI45" s="376"/>
      <c r="AJ45" s="411">
        <v>103673.9504</v>
      </c>
      <c r="AK45" s="675"/>
      <c r="AL45" s="670"/>
      <c r="AM45" s="670"/>
      <c r="AN45" s="330"/>
      <c r="AO45" s="407" t="s">
        <v>925</v>
      </c>
      <c r="AP45" s="394" t="s">
        <v>925</v>
      </c>
      <c r="AQ45" s="330">
        <v>0</v>
      </c>
      <c r="AR45" s="330">
        <v>0</v>
      </c>
      <c r="AS45" s="330">
        <v>9348</v>
      </c>
      <c r="AU45" s="330">
        <v>1459.6460156629128</v>
      </c>
      <c r="AV45" s="330">
        <v>-1459.6460156629128</v>
      </c>
      <c r="AW45" s="676">
        <v>0</v>
      </c>
      <c r="AX45" s="668">
        <v>113021.9504</v>
      </c>
      <c r="AY45" s="668">
        <v>114214.15019999999</v>
      </c>
      <c r="AZ45" s="668">
        <v>-1192.1997999999876</v>
      </c>
      <c r="BA45" s="677">
        <v>1108.6438038432264</v>
      </c>
      <c r="BD45" s="668">
        <v>113021.9504</v>
      </c>
      <c r="BE45" s="668">
        <v>0</v>
      </c>
      <c r="BG45" s="678">
        <v>104866.4332</v>
      </c>
      <c r="BH45" s="678">
        <v>103673.9504</v>
      </c>
      <c r="BI45" s="678">
        <v>-1192.482799999998</v>
      </c>
    </row>
    <row r="46" spans="1:61" ht="15" x14ac:dyDescent="0.25">
      <c r="A46" s="375" t="s">
        <v>103</v>
      </c>
      <c r="B46" s="332" t="s">
        <v>547</v>
      </c>
      <c r="C46" s="332">
        <v>3158</v>
      </c>
      <c r="D46" s="376"/>
      <c r="E46" s="403">
        <v>1482</v>
      </c>
      <c r="F46" s="387">
        <v>44460</v>
      </c>
      <c r="G46" s="388">
        <v>30150</v>
      </c>
      <c r="H46" s="387">
        <v>14310</v>
      </c>
      <c r="I46" s="387">
        <v>30150</v>
      </c>
      <c r="J46" s="387" t="s">
        <v>504</v>
      </c>
      <c r="K46" s="389">
        <v>3.5636999999999999</v>
      </c>
      <c r="L46" s="404">
        <v>107446</v>
      </c>
      <c r="M46" s="380"/>
      <c r="N46" s="391">
        <v>2099.2105263157891</v>
      </c>
      <c r="O46" s="387">
        <v>0.2036</v>
      </c>
      <c r="P46" s="404">
        <v>16241.171999999997</v>
      </c>
      <c r="Q46" s="380"/>
      <c r="R46" s="392">
        <v>18.94736842105263</v>
      </c>
      <c r="S46" s="387">
        <v>1.7611399999999999</v>
      </c>
      <c r="T46" s="405">
        <v>1268.0207999999998</v>
      </c>
      <c r="U46" s="376"/>
      <c r="V46" s="394"/>
      <c r="W46" s="395"/>
      <c r="X46" s="406"/>
      <c r="Y46" s="395"/>
      <c r="Z46" s="407"/>
      <c r="AA46" s="376"/>
      <c r="AB46" s="408"/>
      <c r="AC46" s="409"/>
      <c r="AD46" s="410">
        <v>0</v>
      </c>
      <c r="AE46" s="376"/>
      <c r="AF46" s="392">
        <v>699.47368421052636</v>
      </c>
      <c r="AG46" s="387">
        <v>0.2036</v>
      </c>
      <c r="AH46" s="404">
        <v>5411.6880000000001</v>
      </c>
      <c r="AI46" s="376"/>
      <c r="AJ46" s="411">
        <v>130366.8808</v>
      </c>
      <c r="AK46" s="675"/>
      <c r="AL46" s="670"/>
      <c r="AM46" s="670"/>
      <c r="AN46" s="330"/>
      <c r="AO46" s="407" t="s">
        <v>925</v>
      </c>
      <c r="AP46" s="394" t="s">
        <v>925</v>
      </c>
      <c r="AQ46" s="330">
        <v>0</v>
      </c>
      <c r="AR46" s="330">
        <v>0</v>
      </c>
      <c r="AS46" s="330">
        <v>121</v>
      </c>
      <c r="AU46" s="330">
        <v>1656.9371349922187</v>
      </c>
      <c r="AV46" s="330">
        <v>-1656.9371349922187</v>
      </c>
      <c r="AW46" s="676">
        <v>0</v>
      </c>
      <c r="AX46" s="668">
        <v>130487.8808</v>
      </c>
      <c r="AY46" s="668">
        <v>143063.4454</v>
      </c>
      <c r="AZ46" s="668">
        <v>-12575.564599999998</v>
      </c>
      <c r="BA46" s="677">
        <v>1442.4290351078535</v>
      </c>
      <c r="BD46" s="668">
        <v>130487.8808</v>
      </c>
      <c r="BE46" s="668">
        <v>0</v>
      </c>
      <c r="BG46" s="678">
        <v>142942.12040000001</v>
      </c>
      <c r="BH46" s="678">
        <v>130366.8808</v>
      </c>
      <c r="BI46" s="678">
        <v>-12575.239600000015</v>
      </c>
    </row>
    <row r="47" spans="1:61" ht="15" x14ac:dyDescent="0.25">
      <c r="A47" s="375" t="s">
        <v>105</v>
      </c>
      <c r="B47" s="332" t="s">
        <v>548</v>
      </c>
      <c r="C47" s="332">
        <v>3526</v>
      </c>
      <c r="D47" s="376"/>
      <c r="E47" s="403">
        <v>760</v>
      </c>
      <c r="F47" s="387">
        <v>22800</v>
      </c>
      <c r="G47" s="388">
        <v>16470</v>
      </c>
      <c r="H47" s="387">
        <v>6330</v>
      </c>
      <c r="I47" s="387">
        <v>16470</v>
      </c>
      <c r="J47" s="387" t="s">
        <v>504</v>
      </c>
      <c r="K47" s="389">
        <v>3.5636999999999999</v>
      </c>
      <c r="L47" s="404">
        <v>58694</v>
      </c>
      <c r="M47" s="380"/>
      <c r="N47" s="391">
        <v>1276.578947368421</v>
      </c>
      <c r="O47" s="387">
        <v>0.2036</v>
      </c>
      <c r="P47" s="404">
        <v>9876.6360000000004</v>
      </c>
      <c r="Q47" s="380"/>
      <c r="R47" s="392">
        <v>14.210526315789474</v>
      </c>
      <c r="S47" s="387">
        <v>1.7611399999999999</v>
      </c>
      <c r="T47" s="405">
        <v>951.01560000000006</v>
      </c>
      <c r="U47" s="376"/>
      <c r="V47" s="394"/>
      <c r="W47" s="395"/>
      <c r="X47" s="406"/>
      <c r="Y47" s="395"/>
      <c r="Z47" s="407"/>
      <c r="AA47" s="376"/>
      <c r="AB47" s="408"/>
      <c r="AC47" s="409"/>
      <c r="AD47" s="410">
        <v>0</v>
      </c>
      <c r="AE47" s="376"/>
      <c r="AF47" s="392">
        <v>255</v>
      </c>
      <c r="AG47" s="387">
        <v>0.2036</v>
      </c>
      <c r="AH47" s="404">
        <v>1972.884</v>
      </c>
      <c r="AI47" s="376"/>
      <c r="AJ47" s="411">
        <v>71494.535600000003</v>
      </c>
      <c r="AK47" s="675"/>
      <c r="AL47" s="670"/>
      <c r="AM47" s="670"/>
      <c r="AN47" s="330"/>
      <c r="AO47" s="407" t="s">
        <v>925</v>
      </c>
      <c r="AP47" s="394" t="s">
        <v>925</v>
      </c>
      <c r="AQ47" s="330">
        <v>0</v>
      </c>
      <c r="AR47" s="330">
        <v>0</v>
      </c>
      <c r="AS47" s="330">
        <v>-12722</v>
      </c>
      <c r="AT47" s="668" t="s">
        <v>927</v>
      </c>
      <c r="AU47" s="330">
        <v>984.91425977677</v>
      </c>
      <c r="AV47" s="330">
        <v>-984.91425977677</v>
      </c>
      <c r="AW47" s="676">
        <v>0</v>
      </c>
      <c r="AX47" s="668">
        <v>58772.535600000003</v>
      </c>
      <c r="AY47" s="668">
        <v>69278.186799999996</v>
      </c>
      <c r="AZ47" s="668">
        <v>-10505.651199999993</v>
      </c>
      <c r="BA47" s="677">
        <v>902.01485115560001</v>
      </c>
      <c r="BD47" s="668">
        <v>58772.535600000003</v>
      </c>
      <c r="BE47" s="668">
        <v>0</v>
      </c>
      <c r="BG47" s="678">
        <v>82000.057799999995</v>
      </c>
      <c r="BH47" s="678">
        <v>71494.535600000003</v>
      </c>
      <c r="BI47" s="678">
        <v>-10505.522199999992</v>
      </c>
    </row>
    <row r="48" spans="1:61" ht="15" x14ac:dyDescent="0.25">
      <c r="A48" s="375" t="s">
        <v>109</v>
      </c>
      <c r="B48" s="332" t="s">
        <v>549</v>
      </c>
      <c r="C48" s="332">
        <v>3528</v>
      </c>
      <c r="D48" s="376"/>
      <c r="E48" s="403">
        <v>1976</v>
      </c>
      <c r="F48" s="387">
        <v>59280</v>
      </c>
      <c r="G48" s="388">
        <v>23886</v>
      </c>
      <c r="H48" s="387">
        <v>35394</v>
      </c>
      <c r="I48" s="387">
        <v>23886</v>
      </c>
      <c r="J48" s="387" t="s">
        <v>504</v>
      </c>
      <c r="K48" s="389">
        <v>3.5636999999999999</v>
      </c>
      <c r="L48" s="404">
        <v>85123</v>
      </c>
      <c r="M48" s="380"/>
      <c r="N48" s="391">
        <v>551.68421052631572</v>
      </c>
      <c r="O48" s="387">
        <v>0.2036</v>
      </c>
      <c r="P48" s="404">
        <v>4268.2703999999994</v>
      </c>
      <c r="Q48" s="380"/>
      <c r="R48" s="392">
        <v>19.736842105263158</v>
      </c>
      <c r="S48" s="387">
        <v>1.7611399999999999</v>
      </c>
      <c r="T48" s="405">
        <v>1320.855</v>
      </c>
      <c r="U48" s="376"/>
      <c r="V48" s="394"/>
      <c r="W48" s="395"/>
      <c r="X48" s="406"/>
      <c r="Y48" s="395"/>
      <c r="Z48" s="407"/>
      <c r="AA48" s="376"/>
      <c r="AB48" s="408"/>
      <c r="AC48" s="409"/>
      <c r="AD48" s="410">
        <v>0</v>
      </c>
      <c r="AE48" s="376"/>
      <c r="AF48" s="392">
        <v>138.15789473684211</v>
      </c>
      <c r="AG48" s="387">
        <v>0.2036</v>
      </c>
      <c r="AH48" s="404">
        <v>1068.9000000000001</v>
      </c>
      <c r="AI48" s="376"/>
      <c r="AJ48" s="411">
        <v>91781.025399999999</v>
      </c>
      <c r="AK48" s="675"/>
      <c r="AL48" s="670"/>
      <c r="AM48" s="670"/>
      <c r="AN48" s="330"/>
      <c r="AO48" s="407" t="s">
        <v>925</v>
      </c>
      <c r="AP48" s="394" t="s">
        <v>925</v>
      </c>
      <c r="AQ48" s="330">
        <v>0</v>
      </c>
      <c r="AR48" s="330">
        <v>0</v>
      </c>
      <c r="AS48" s="330">
        <v>-5053</v>
      </c>
      <c r="AT48" s="668">
        <v>2586970.8144999999</v>
      </c>
      <c r="AU48" s="330">
        <v>1201.6262236650546</v>
      </c>
      <c r="AV48" s="330">
        <v>-1201.6262236650546</v>
      </c>
      <c r="AW48" s="676">
        <v>0</v>
      </c>
      <c r="AX48" s="668">
        <v>86728.025399999999</v>
      </c>
      <c r="AY48" s="668">
        <v>84109.020799999998</v>
      </c>
      <c r="AZ48" s="668">
        <v>2619.0046000000002</v>
      </c>
      <c r="BA48" s="677">
        <v>1054.867294361703</v>
      </c>
      <c r="BD48" s="668">
        <v>86728.025399999999</v>
      </c>
      <c r="BE48" s="668">
        <v>0</v>
      </c>
      <c r="BG48" s="678">
        <v>89162.205199999997</v>
      </c>
      <c r="BH48" s="678">
        <v>91781.025399999999</v>
      </c>
      <c r="BI48" s="678">
        <v>2618.8202000000019</v>
      </c>
    </row>
    <row r="49" spans="1:62" ht="15" x14ac:dyDescent="0.25">
      <c r="A49" s="375" t="s">
        <v>41</v>
      </c>
      <c r="B49" s="332" t="s">
        <v>550</v>
      </c>
      <c r="C49" s="332">
        <v>1010</v>
      </c>
      <c r="D49" s="376"/>
      <c r="E49" s="403">
        <v>1520</v>
      </c>
      <c r="F49" s="387">
        <v>45600</v>
      </c>
      <c r="G49" s="388">
        <v>34194</v>
      </c>
      <c r="H49" s="387">
        <v>11406</v>
      </c>
      <c r="I49" s="387">
        <v>34194</v>
      </c>
      <c r="J49" s="387" t="s">
        <v>507</v>
      </c>
      <c r="K49" s="324">
        <v>5.5246000000000004</v>
      </c>
      <c r="L49" s="404">
        <v>188908</v>
      </c>
      <c r="M49" s="380"/>
      <c r="N49" s="391">
        <v>2134.2631578947367</v>
      </c>
      <c r="O49" s="387">
        <v>0.2036</v>
      </c>
      <c r="P49" s="404">
        <v>16512.367200000001</v>
      </c>
      <c r="Q49" s="380"/>
      <c r="R49" s="392">
        <v>4.7368421052631575</v>
      </c>
      <c r="S49" s="387">
        <v>1.7611399999999999</v>
      </c>
      <c r="T49" s="405">
        <v>317.00519999999995</v>
      </c>
      <c r="U49" s="376"/>
      <c r="V49" s="394"/>
      <c r="W49" s="395"/>
      <c r="X49" s="406"/>
      <c r="Y49" s="395"/>
      <c r="Z49" s="407"/>
      <c r="AA49" s="376"/>
      <c r="AB49" s="408">
        <v>1</v>
      </c>
      <c r="AC49" s="409">
        <v>100000</v>
      </c>
      <c r="AD49" s="410">
        <v>100000</v>
      </c>
      <c r="AE49" s="376"/>
      <c r="AF49" s="392">
        <v>699.47368421052636</v>
      </c>
      <c r="AG49" s="387">
        <v>0.2036</v>
      </c>
      <c r="AH49" s="404">
        <v>5411.6880000000001</v>
      </c>
      <c r="AI49" s="376"/>
      <c r="AJ49" s="411">
        <v>311149.06039999996</v>
      </c>
      <c r="AK49" s="675"/>
      <c r="AL49" s="670"/>
      <c r="AM49" s="670"/>
      <c r="AN49" s="330"/>
      <c r="AO49" s="407">
        <v>9761</v>
      </c>
      <c r="AP49" s="394">
        <v>0</v>
      </c>
      <c r="AQ49" s="330">
        <v>1790.8821599999997</v>
      </c>
      <c r="AR49" s="330">
        <v>0</v>
      </c>
      <c r="AS49" s="330">
        <v>-16265</v>
      </c>
      <c r="AU49" s="330">
        <v>1967.6706479358756</v>
      </c>
      <c r="AV49" s="330">
        <v>-1967.6706479358756</v>
      </c>
      <c r="AW49" s="676">
        <v>0</v>
      </c>
      <c r="AX49" s="668">
        <v>306435.94255999994</v>
      </c>
      <c r="AY49" s="668">
        <v>331896.76456000004</v>
      </c>
      <c r="AZ49" s="668">
        <v>-25460.822000000102</v>
      </c>
      <c r="BA49" s="677">
        <v>1662.3034334805841</v>
      </c>
      <c r="BD49" s="668">
        <v>296674.94255999994</v>
      </c>
      <c r="BE49" s="668">
        <v>9761</v>
      </c>
      <c r="BG49" s="678">
        <v>336609.75159999996</v>
      </c>
      <c r="BH49" s="678">
        <v>311149.06039999996</v>
      </c>
      <c r="BI49" s="678">
        <v>-25460.691200000001</v>
      </c>
    </row>
    <row r="50" spans="1:62" ht="15" x14ac:dyDescent="0.25">
      <c r="A50" s="375" t="s">
        <v>112</v>
      </c>
      <c r="B50" s="332" t="s">
        <v>551</v>
      </c>
      <c r="C50" s="332">
        <v>3546</v>
      </c>
      <c r="D50" s="376"/>
      <c r="E50" s="403">
        <v>1482</v>
      </c>
      <c r="F50" s="387">
        <v>44460</v>
      </c>
      <c r="G50" s="388">
        <v>40710</v>
      </c>
      <c r="H50" s="387">
        <v>3750</v>
      </c>
      <c r="I50" s="387">
        <v>40710</v>
      </c>
      <c r="J50" s="387" t="s">
        <v>504</v>
      </c>
      <c r="K50" s="389">
        <v>3.5636999999999999</v>
      </c>
      <c r="L50" s="404">
        <v>145078</v>
      </c>
      <c r="M50" s="380"/>
      <c r="N50" s="391">
        <v>2582.3684210526317</v>
      </c>
      <c r="O50" s="387">
        <v>0.2036</v>
      </c>
      <c r="P50" s="404">
        <v>19979.268000000004</v>
      </c>
      <c r="Q50" s="380"/>
      <c r="R50" s="392">
        <v>24.473684210526315</v>
      </c>
      <c r="S50" s="387">
        <v>1.7611399999999999</v>
      </c>
      <c r="T50" s="405">
        <v>1637.8601999999998</v>
      </c>
      <c r="U50" s="376"/>
      <c r="V50" s="394"/>
      <c r="W50" s="395"/>
      <c r="X50" s="406"/>
      <c r="Y50" s="395"/>
      <c r="Z50" s="407"/>
      <c r="AA50" s="376"/>
      <c r="AB50" s="408"/>
      <c r="AC50" s="409"/>
      <c r="AD50" s="410">
        <v>0</v>
      </c>
      <c r="AE50" s="376"/>
      <c r="AF50" s="392">
        <v>527.36842105263156</v>
      </c>
      <c r="AG50" s="387">
        <v>0.2036</v>
      </c>
      <c r="AH50" s="404">
        <v>4080.1439999999998</v>
      </c>
      <c r="AI50" s="376"/>
      <c r="AJ50" s="411">
        <v>170775.27220000001</v>
      </c>
      <c r="AK50" s="675"/>
      <c r="AL50" s="670"/>
      <c r="AM50" s="670"/>
      <c r="AN50" s="330"/>
      <c r="AO50" s="407" t="s">
        <v>925</v>
      </c>
      <c r="AP50" s="394" t="s">
        <v>925</v>
      </c>
      <c r="AQ50" s="330">
        <v>0</v>
      </c>
      <c r="AR50" s="330">
        <v>0</v>
      </c>
      <c r="AS50" s="330">
        <v>-18107</v>
      </c>
      <c r="AU50" s="330">
        <v>2025.3166468649074</v>
      </c>
      <c r="AV50" s="330">
        <v>-2025.3166468649074</v>
      </c>
      <c r="AW50" s="676">
        <v>0</v>
      </c>
      <c r="AX50" s="668">
        <v>152668.27220000001</v>
      </c>
      <c r="AY50" s="668">
        <v>147428.15380000003</v>
      </c>
      <c r="AZ50" s="668">
        <v>5240.1183999999776</v>
      </c>
      <c r="BA50" s="677">
        <v>1962.9750505324507</v>
      </c>
      <c r="BD50" s="668">
        <v>152668.27220000001</v>
      </c>
      <c r="BE50" s="668">
        <v>0</v>
      </c>
      <c r="BG50" s="678">
        <v>165535.0998</v>
      </c>
      <c r="BH50" s="678">
        <v>170775.27220000001</v>
      </c>
      <c r="BI50" s="678">
        <v>5240.1724000000104</v>
      </c>
    </row>
    <row r="51" spans="1:62" ht="15" x14ac:dyDescent="0.25">
      <c r="A51" s="375" t="s">
        <v>42</v>
      </c>
      <c r="B51" s="332" t="s">
        <v>552</v>
      </c>
      <c r="C51" s="332">
        <v>1009</v>
      </c>
      <c r="D51" s="376"/>
      <c r="E51" s="403">
        <v>1520</v>
      </c>
      <c r="F51" s="387">
        <v>45600</v>
      </c>
      <c r="G51" s="388">
        <v>43953</v>
      </c>
      <c r="H51" s="387">
        <v>1647</v>
      </c>
      <c r="I51" s="387">
        <v>43953</v>
      </c>
      <c r="J51" s="387" t="s">
        <v>507</v>
      </c>
      <c r="K51" s="324">
        <v>5.5246000000000004</v>
      </c>
      <c r="L51" s="404">
        <v>242823</v>
      </c>
      <c r="M51" s="380"/>
      <c r="N51" s="391">
        <v>3350.7631578947367</v>
      </c>
      <c r="O51" s="387">
        <v>0.2036</v>
      </c>
      <c r="P51" s="404">
        <v>25924.184400000002</v>
      </c>
      <c r="Q51" s="380"/>
      <c r="R51" s="392">
        <v>9.473684210526315</v>
      </c>
      <c r="S51" s="387">
        <v>1.7611399999999999</v>
      </c>
      <c r="T51" s="405">
        <v>634.01039999999989</v>
      </c>
      <c r="U51" s="376"/>
      <c r="V51" s="394"/>
      <c r="W51" s="395"/>
      <c r="X51" s="406"/>
      <c r="Y51" s="395"/>
      <c r="Z51" s="407"/>
      <c r="AA51" s="376"/>
      <c r="AB51" s="408">
        <v>1</v>
      </c>
      <c r="AC51" s="409">
        <v>100000</v>
      </c>
      <c r="AD51" s="410">
        <v>100000</v>
      </c>
      <c r="AE51" s="376"/>
      <c r="AF51" s="392">
        <v>547.18421052631584</v>
      </c>
      <c r="AG51" s="387">
        <v>0.2036</v>
      </c>
      <c r="AH51" s="404">
        <v>4233.4548000000004</v>
      </c>
      <c r="AI51" s="376"/>
      <c r="AJ51" s="411">
        <v>373614.6496</v>
      </c>
      <c r="AK51" s="675"/>
      <c r="AL51" s="670"/>
      <c r="AM51" s="670"/>
      <c r="AN51" s="330"/>
      <c r="AO51" s="407">
        <v>9761</v>
      </c>
      <c r="AP51" s="394">
        <v>0</v>
      </c>
      <c r="AQ51" s="330">
        <v>3446.5855799999999</v>
      </c>
      <c r="AR51" s="330">
        <v>0</v>
      </c>
      <c r="AS51" s="330">
        <v>1630</v>
      </c>
      <c r="AU51" s="330">
        <v>2342.8320420355094</v>
      </c>
      <c r="AV51" s="330">
        <v>-2342.8320420355094</v>
      </c>
      <c r="AW51" s="676">
        <v>0</v>
      </c>
      <c r="AX51" s="668">
        <v>388452.23518000002</v>
      </c>
      <c r="AY51" s="668">
        <v>400034.50797999999</v>
      </c>
      <c r="AZ51" s="668">
        <v>-11582.272799999977</v>
      </c>
      <c r="BA51" s="677">
        <v>2013.3077441358471</v>
      </c>
      <c r="BD51" s="668">
        <v>378691.23518000002</v>
      </c>
      <c r="BE51" s="668">
        <v>9761</v>
      </c>
      <c r="BG51" s="678">
        <v>385197.16240000003</v>
      </c>
      <c r="BH51" s="678">
        <v>373614.6496</v>
      </c>
      <c r="BI51" s="678">
        <v>-11582.512800000026</v>
      </c>
    </row>
    <row r="52" spans="1:62" ht="15" x14ac:dyDescent="0.25">
      <c r="A52" s="375" t="s">
        <v>113</v>
      </c>
      <c r="B52" s="332" t="s">
        <v>553</v>
      </c>
      <c r="C52" s="332">
        <v>3530</v>
      </c>
      <c r="D52" s="376"/>
      <c r="E52" s="403">
        <v>988</v>
      </c>
      <c r="F52" s="387">
        <v>29640</v>
      </c>
      <c r="G52" s="388">
        <v>25260</v>
      </c>
      <c r="H52" s="387">
        <v>4380</v>
      </c>
      <c r="I52" s="387">
        <v>25260</v>
      </c>
      <c r="J52" s="387" t="s">
        <v>504</v>
      </c>
      <c r="K52" s="389">
        <v>3.5636999999999999</v>
      </c>
      <c r="L52" s="404">
        <v>90019</v>
      </c>
      <c r="M52" s="380"/>
      <c r="N52" s="391">
        <v>74.21052631578948</v>
      </c>
      <c r="O52" s="387">
        <v>0.2036</v>
      </c>
      <c r="P52" s="404">
        <v>574.15200000000004</v>
      </c>
      <c r="Q52" s="380"/>
      <c r="R52" s="392">
        <v>4.7368421052631575</v>
      </c>
      <c r="S52" s="387">
        <v>1.7611399999999999</v>
      </c>
      <c r="T52" s="405">
        <v>317.00519999999995</v>
      </c>
      <c r="U52" s="376"/>
      <c r="V52" s="394"/>
      <c r="W52" s="395"/>
      <c r="X52" s="406"/>
      <c r="Y52" s="395"/>
      <c r="Z52" s="407"/>
      <c r="AA52" s="376"/>
      <c r="AB52" s="408"/>
      <c r="AC52" s="409"/>
      <c r="AD52" s="410">
        <v>0</v>
      </c>
      <c r="AE52" s="376"/>
      <c r="AF52" s="392">
        <v>25.263157894736842</v>
      </c>
      <c r="AG52" s="387">
        <v>0.2036</v>
      </c>
      <c r="AH52" s="404">
        <v>195.45599999999999</v>
      </c>
      <c r="AI52" s="376"/>
      <c r="AJ52" s="411">
        <v>91105.613200000007</v>
      </c>
      <c r="AK52" s="675"/>
      <c r="AL52" s="670"/>
      <c r="AM52" s="670"/>
      <c r="AN52" s="330"/>
      <c r="AO52" s="407" t="s">
        <v>925</v>
      </c>
      <c r="AP52" s="394" t="s">
        <v>925</v>
      </c>
      <c r="AQ52" s="330">
        <v>0</v>
      </c>
      <c r="AR52" s="330">
        <v>0</v>
      </c>
      <c r="AS52" s="330">
        <v>-903</v>
      </c>
      <c r="AU52" s="330">
        <v>1438.0672994862698</v>
      </c>
      <c r="AV52" s="330">
        <v>-1438.0672994862698</v>
      </c>
      <c r="AW52" s="676">
        <v>0</v>
      </c>
      <c r="AX52" s="668">
        <v>90202.613200000007</v>
      </c>
      <c r="AY52" s="668">
        <v>100919.23980000001</v>
      </c>
      <c r="AZ52" s="668">
        <v>-10716.626600000003</v>
      </c>
      <c r="BA52" s="677">
        <v>1181.4937551112998</v>
      </c>
      <c r="BD52" s="668">
        <v>90202.613200000007</v>
      </c>
      <c r="BE52" s="668">
        <v>0</v>
      </c>
      <c r="BG52" s="678">
        <v>101822.27679999999</v>
      </c>
      <c r="BH52" s="678">
        <v>91105.613200000007</v>
      </c>
      <c r="BI52" s="678">
        <v>-10716.663599999985</v>
      </c>
    </row>
    <row r="53" spans="1:62" ht="15" x14ac:dyDescent="0.25">
      <c r="A53" s="375" t="s">
        <v>43</v>
      </c>
      <c r="B53" s="332" t="s">
        <v>554</v>
      </c>
      <c r="C53" s="332">
        <v>1015</v>
      </c>
      <c r="D53" s="376"/>
      <c r="E53" s="418">
        <v>1520</v>
      </c>
      <c r="F53" s="419">
        <v>45600</v>
      </c>
      <c r="G53" s="388">
        <v>37362</v>
      </c>
      <c r="H53" s="419">
        <v>8238</v>
      </c>
      <c r="I53" s="419">
        <v>37362</v>
      </c>
      <c r="J53" s="419" t="s">
        <v>507</v>
      </c>
      <c r="K53" s="324">
        <v>5.5246000000000004</v>
      </c>
      <c r="L53" s="420">
        <v>206410</v>
      </c>
      <c r="M53" s="380"/>
      <c r="N53" s="391">
        <v>342.94736842105266</v>
      </c>
      <c r="O53" s="419">
        <v>0.2036</v>
      </c>
      <c r="P53" s="420">
        <v>2653.3152000000005</v>
      </c>
      <c r="Q53" s="380"/>
      <c r="R53" s="392">
        <v>0</v>
      </c>
      <c r="S53" s="419">
        <v>1.7611399999999999</v>
      </c>
      <c r="T53" s="421">
        <v>0</v>
      </c>
      <c r="U53" s="376"/>
      <c r="V53" s="422"/>
      <c r="W53" s="395"/>
      <c r="X53" s="423"/>
      <c r="Y53" s="395"/>
      <c r="Z53" s="424"/>
      <c r="AA53" s="376"/>
      <c r="AB53" s="425">
        <v>1</v>
      </c>
      <c r="AC53" s="409">
        <v>100000</v>
      </c>
      <c r="AD53" s="426">
        <v>100000</v>
      </c>
      <c r="AE53" s="376"/>
      <c r="AF53" s="392">
        <v>4.7368421052631575</v>
      </c>
      <c r="AG53" s="419">
        <v>0.2036</v>
      </c>
      <c r="AH53" s="420">
        <v>36.647999999999996</v>
      </c>
      <c r="AI53" s="376"/>
      <c r="AJ53" s="427">
        <v>309099.9632</v>
      </c>
      <c r="AK53" s="675"/>
      <c r="AL53" s="670"/>
      <c r="AM53" s="670"/>
      <c r="AN53" s="330"/>
      <c r="AO53" s="424">
        <v>22825</v>
      </c>
      <c r="AP53" s="422">
        <v>0</v>
      </c>
      <c r="AQ53" s="330">
        <v>2230.1533800000002</v>
      </c>
      <c r="AR53" s="330">
        <v>0</v>
      </c>
      <c r="AS53" s="330">
        <v>-39146</v>
      </c>
      <c r="AU53" s="330">
        <v>1959.9639635870747</v>
      </c>
      <c r="AV53" s="330">
        <v>-1959.9639635870747</v>
      </c>
      <c r="AW53" s="676">
        <v>0</v>
      </c>
      <c r="AX53" s="668">
        <v>295009.11658000003</v>
      </c>
      <c r="AY53" s="668">
        <v>299886.00737999997</v>
      </c>
      <c r="AZ53" s="668">
        <v>-4876.8907999999356</v>
      </c>
      <c r="BA53" s="677">
        <v>1913.4370836701607</v>
      </c>
      <c r="BD53" s="668">
        <v>272184.11658000003</v>
      </c>
      <c r="BE53" s="668">
        <v>22825</v>
      </c>
      <c r="BG53" s="678">
        <v>313976.41320000001</v>
      </c>
      <c r="BH53" s="678">
        <v>309099.9632</v>
      </c>
      <c r="BI53" s="678">
        <v>-4876.4500000000116</v>
      </c>
    </row>
    <row r="54" spans="1:62" x14ac:dyDescent="0.2">
      <c r="A54" s="412"/>
      <c r="B54" s="332"/>
      <c r="C54" s="413"/>
      <c r="D54" s="376"/>
      <c r="E54" s="377"/>
      <c r="F54" s="377"/>
      <c r="G54" s="379"/>
      <c r="H54" s="377"/>
      <c r="I54" s="377"/>
      <c r="J54" s="377"/>
      <c r="K54" s="377"/>
      <c r="L54" s="379"/>
      <c r="M54" s="380"/>
      <c r="N54" s="428"/>
      <c r="O54" s="377"/>
      <c r="P54" s="379"/>
      <c r="Q54" s="380"/>
      <c r="R54" s="428"/>
      <c r="S54" s="377"/>
      <c r="T54" s="381"/>
      <c r="U54" s="376"/>
      <c r="V54" s="429"/>
      <c r="W54" s="395"/>
      <c r="X54" s="429"/>
      <c r="Y54" s="395"/>
      <c r="Z54" s="429"/>
      <c r="AA54" s="376"/>
      <c r="AB54" s="377"/>
      <c r="AC54" s="377"/>
      <c r="AD54" s="379"/>
      <c r="AE54" s="376"/>
      <c r="AF54" s="428"/>
      <c r="AG54" s="377"/>
      <c r="AH54" s="379"/>
      <c r="AI54" s="376"/>
      <c r="AJ54" s="379"/>
      <c r="AK54" s="675"/>
      <c r="AN54" s="330"/>
      <c r="AO54" s="331"/>
      <c r="AP54" s="331"/>
      <c r="AQ54" s="330"/>
      <c r="AY54" s="678"/>
      <c r="AZ54" s="668"/>
      <c r="BA54" s="677"/>
      <c r="BD54" s="668"/>
      <c r="BE54" s="668"/>
    </row>
    <row r="55" spans="1:62" s="444" customFormat="1" ht="15" x14ac:dyDescent="0.25">
      <c r="A55" s="9" t="s">
        <v>555</v>
      </c>
      <c r="B55" s="9"/>
      <c r="C55" s="9"/>
      <c r="D55" s="432"/>
      <c r="E55" s="436"/>
      <c r="F55" s="436"/>
      <c r="G55" s="434">
        <v>1388562</v>
      </c>
      <c r="H55" s="435"/>
      <c r="I55" s="435">
        <v>1388562</v>
      </c>
      <c r="J55" s="436"/>
      <c r="K55" s="436"/>
      <c r="L55" s="433">
        <v>5527611</v>
      </c>
      <c r="M55" s="437"/>
      <c r="N55" s="438">
        <v>61799.210526315786</v>
      </c>
      <c r="O55" s="436"/>
      <c r="P55" s="433">
        <v>478128.13199999998</v>
      </c>
      <c r="Q55" s="437"/>
      <c r="R55" s="438">
        <v>870.78947368421041</v>
      </c>
      <c r="S55" s="436"/>
      <c r="T55" s="439">
        <v>58276.122599999995</v>
      </c>
      <c r="U55" s="432"/>
      <c r="V55" s="440">
        <v>0</v>
      </c>
      <c r="W55" s="432"/>
      <c r="X55" s="440">
        <v>0</v>
      </c>
      <c r="Y55" s="432"/>
      <c r="Z55" s="440">
        <v>0</v>
      </c>
      <c r="AA55" s="432"/>
      <c r="AB55" s="436"/>
      <c r="AC55" s="436"/>
      <c r="AD55" s="433">
        <v>800000</v>
      </c>
      <c r="AE55" s="432"/>
      <c r="AF55" s="438">
        <v>9254.8421052631602</v>
      </c>
      <c r="AG55" s="436"/>
      <c r="AH55" s="440">
        <v>71602.862400000027</v>
      </c>
      <c r="AI55" s="432"/>
      <c r="AJ55" s="441">
        <v>6935618.1169999987</v>
      </c>
      <c r="AK55" s="679"/>
      <c r="AL55" s="441">
        <v>0</v>
      </c>
      <c r="AM55" s="680">
        <v>0</v>
      </c>
      <c r="AN55" s="681"/>
      <c r="AO55" s="680">
        <v>64996</v>
      </c>
      <c r="AP55" s="680">
        <v>168620</v>
      </c>
      <c r="AQ55" s="680">
        <v>33966.442860000003</v>
      </c>
      <c r="AR55" s="680">
        <v>10511</v>
      </c>
      <c r="AS55" s="680">
        <v>-264014</v>
      </c>
      <c r="AU55" s="680">
        <v>73687.000000000015</v>
      </c>
      <c r="AV55" s="680">
        <v>-71282.514483174091</v>
      </c>
      <c r="AW55" s="680">
        <v>0</v>
      </c>
      <c r="AX55" s="680">
        <v>6952102.0453768242</v>
      </c>
      <c r="AY55" s="680">
        <v>7179176.8455084264</v>
      </c>
      <c r="AZ55" s="680">
        <f>SUM(AZ7:AZ53)</f>
        <v>-227074.80013159994</v>
      </c>
      <c r="BA55" s="682">
        <v>64582.144071431343</v>
      </c>
      <c r="BD55" s="680">
        <v>6707975.0453768242</v>
      </c>
      <c r="BE55" s="680">
        <v>244127</v>
      </c>
      <c r="BF55" s="683">
        <v>6952102.0453768242</v>
      </c>
      <c r="BG55" s="1165">
        <v>7162693.4665315999</v>
      </c>
      <c r="BH55" s="1165">
        <v>6935618.1169999987</v>
      </c>
      <c r="BI55" s="1165">
        <v>-227075.34953160002</v>
      </c>
    </row>
    <row r="56" spans="1:62" s="444" customFormat="1" ht="15" x14ac:dyDescent="0.25">
      <c r="A56" s="430"/>
      <c r="B56" s="431"/>
      <c r="C56" s="431"/>
      <c r="D56" s="432"/>
      <c r="E56" s="436"/>
      <c r="F56" s="436"/>
      <c r="G56" s="434"/>
      <c r="H56" s="435"/>
      <c r="I56" s="435"/>
      <c r="J56" s="436"/>
      <c r="K56" s="436"/>
      <c r="L56" s="445"/>
      <c r="M56" s="437"/>
      <c r="N56" s="438"/>
      <c r="O56" s="436"/>
      <c r="P56" s="445"/>
      <c r="Q56" s="437"/>
      <c r="R56" s="438"/>
      <c r="S56" s="436"/>
      <c r="T56" s="446"/>
      <c r="U56" s="432"/>
      <c r="V56" s="447"/>
      <c r="W56" s="432"/>
      <c r="X56" s="447"/>
      <c r="Y56" s="432"/>
      <c r="Z56" s="447"/>
      <c r="AA56" s="432"/>
      <c r="AB56" s="436"/>
      <c r="AC56" s="436"/>
      <c r="AD56" s="445"/>
      <c r="AE56" s="432"/>
      <c r="AF56" s="438"/>
      <c r="AG56" s="436"/>
      <c r="AH56" s="447"/>
      <c r="AI56" s="432"/>
      <c r="AJ56" s="447"/>
      <c r="AK56" s="679"/>
      <c r="AL56" s="447"/>
      <c r="AM56" s="447"/>
      <c r="AN56" s="681"/>
      <c r="AO56" s="447"/>
      <c r="AP56" s="447"/>
      <c r="AQ56" s="447"/>
      <c r="AR56" s="447"/>
      <c r="AS56" s="447"/>
      <c r="AU56" s="447"/>
      <c r="AV56" s="447"/>
      <c r="AW56" s="447"/>
      <c r="AX56" s="447"/>
      <c r="AY56" s="447"/>
      <c r="AZ56" s="447"/>
      <c r="BA56" s="682"/>
      <c r="BD56" s="447"/>
      <c r="BE56" s="447"/>
      <c r="BF56" s="683"/>
      <c r="BG56" s="1165"/>
      <c r="BH56" s="1165"/>
      <c r="BI56" s="1167">
        <f>BI55-BI15-BI27</f>
        <v>-234460.29300000001</v>
      </c>
      <c r="BJ56" s="1168" t="s">
        <v>1135</v>
      </c>
    </row>
    <row r="57" spans="1:62" s="444" customFormat="1" ht="15" x14ac:dyDescent="0.25">
      <c r="A57" s="430" t="s">
        <v>928</v>
      </c>
      <c r="B57" s="431"/>
      <c r="C57" s="431"/>
      <c r="D57" s="432"/>
      <c r="E57" s="436"/>
      <c r="F57" s="436"/>
      <c r="G57" s="434">
        <v>1434216</v>
      </c>
      <c r="H57" s="435"/>
      <c r="I57" s="435"/>
      <c r="J57" s="436"/>
      <c r="K57" s="436"/>
      <c r="L57" s="445">
        <v>5707516</v>
      </c>
      <c r="M57" s="437"/>
      <c r="N57" s="438">
        <v>64007</v>
      </c>
      <c r="O57" s="436"/>
      <c r="P57" s="445">
        <v>495207</v>
      </c>
      <c r="Q57" s="437"/>
      <c r="R57" s="438">
        <v>1420</v>
      </c>
      <c r="S57" s="436"/>
      <c r="T57" s="446">
        <v>95049</v>
      </c>
      <c r="U57" s="432"/>
      <c r="V57" s="447">
        <v>0</v>
      </c>
      <c r="W57" s="432"/>
      <c r="X57" s="447">
        <v>0</v>
      </c>
      <c r="Y57" s="432"/>
      <c r="Z57" s="447">
        <v>0</v>
      </c>
      <c r="AA57" s="432"/>
      <c r="AB57" s="436"/>
      <c r="AC57" s="436"/>
      <c r="AD57" s="445">
        <v>800000</v>
      </c>
      <c r="AE57" s="432"/>
      <c r="AF57" s="438">
        <v>8391</v>
      </c>
      <c r="AG57" s="436"/>
      <c r="AH57" s="447">
        <v>64922</v>
      </c>
      <c r="AI57" s="432"/>
      <c r="AJ57" s="447">
        <v>7162693</v>
      </c>
      <c r="AK57" s="679"/>
      <c r="AL57" s="447"/>
      <c r="AM57" s="447"/>
      <c r="AN57" s="681"/>
      <c r="AO57" s="447">
        <v>64996</v>
      </c>
      <c r="AP57" s="447">
        <v>168620</v>
      </c>
      <c r="AQ57" s="447">
        <v>33966</v>
      </c>
      <c r="AR57" s="447">
        <v>10511</v>
      </c>
      <c r="AS57" s="447">
        <v>-264014</v>
      </c>
      <c r="AU57" s="447">
        <v>73687</v>
      </c>
      <c r="AV57" s="447">
        <v>-71283</v>
      </c>
      <c r="AW57" s="447">
        <v>1</v>
      </c>
      <c r="AX57" s="447">
        <v>7179177</v>
      </c>
      <c r="AY57" s="447">
        <v>7179177</v>
      </c>
      <c r="AZ57" s="447"/>
      <c r="BA57" s="682"/>
      <c r="BD57" s="447"/>
      <c r="BE57" s="447"/>
      <c r="BF57" s="683"/>
      <c r="BG57" s="1165"/>
      <c r="BH57" s="1165"/>
      <c r="BI57" s="1165"/>
    </row>
    <row r="58" spans="1:62" s="444" customFormat="1" ht="15" x14ac:dyDescent="0.25">
      <c r="A58" s="684" t="s">
        <v>921</v>
      </c>
      <c r="B58" s="685"/>
      <c r="C58" s="685"/>
      <c r="D58" s="685"/>
      <c r="E58" s="686"/>
      <c r="F58" s="686"/>
      <c r="G58" s="687">
        <v>-45654</v>
      </c>
      <c r="H58" s="687"/>
      <c r="I58" s="687"/>
      <c r="J58" s="686"/>
      <c r="K58" s="686"/>
      <c r="L58" s="687">
        <v>-179905</v>
      </c>
      <c r="M58" s="686"/>
      <c r="N58" s="687">
        <v>-2207.7894736842136</v>
      </c>
      <c r="O58" s="686"/>
      <c r="P58" s="687">
        <v>-17078.868000000017</v>
      </c>
      <c r="Q58" s="686"/>
      <c r="R58" s="687">
        <v>-549.21052631578959</v>
      </c>
      <c r="S58" s="686"/>
      <c r="T58" s="687">
        <v>-36772.877400000005</v>
      </c>
      <c r="U58" s="685"/>
      <c r="V58" s="687">
        <v>0</v>
      </c>
      <c r="W58" s="685"/>
      <c r="X58" s="687">
        <v>0</v>
      </c>
      <c r="Y58" s="685"/>
      <c r="Z58" s="687">
        <v>0</v>
      </c>
      <c r="AA58" s="685"/>
      <c r="AB58" s="686"/>
      <c r="AC58" s="686"/>
      <c r="AD58" s="687">
        <v>0</v>
      </c>
      <c r="AE58" s="685"/>
      <c r="AF58" s="687">
        <v>863.84210526316019</v>
      </c>
      <c r="AG58" s="686"/>
      <c r="AH58" s="687">
        <v>6680.8624000000273</v>
      </c>
      <c r="AI58" s="685"/>
      <c r="AJ58" s="687">
        <v>-227074.88300000131</v>
      </c>
      <c r="AK58" s="679"/>
      <c r="AL58" s="447"/>
      <c r="AM58" s="447"/>
      <c r="AN58" s="681"/>
      <c r="AO58" s="434">
        <v>0</v>
      </c>
      <c r="AP58" s="434">
        <v>0</v>
      </c>
      <c r="AQ58" s="434">
        <v>0.44286000000283821</v>
      </c>
      <c r="AR58" s="434">
        <v>0</v>
      </c>
      <c r="AS58" s="434">
        <v>0</v>
      </c>
      <c r="AU58" s="434">
        <v>0</v>
      </c>
      <c r="AV58" s="434">
        <v>0.48551682590914425</v>
      </c>
      <c r="AW58" s="434">
        <v>-1</v>
      </c>
      <c r="AX58" s="434">
        <v>-227074.95462317578</v>
      </c>
      <c r="AY58" s="434">
        <v>-0.15449157357215881</v>
      </c>
      <c r="AZ58" s="447"/>
      <c r="BA58" s="682"/>
      <c r="BD58" s="447"/>
      <c r="BE58" s="447"/>
      <c r="BF58" s="683"/>
      <c r="BG58" s="1165"/>
      <c r="BH58" s="1165"/>
      <c r="BI58" s="1165"/>
    </row>
    <row r="59" spans="1:62" x14ac:dyDescent="0.2">
      <c r="A59" s="375"/>
      <c r="B59" s="332"/>
      <c r="C59" s="332"/>
      <c r="D59" s="376"/>
      <c r="E59" s="377"/>
      <c r="F59" s="377"/>
      <c r="G59" s="379"/>
      <c r="H59" s="377"/>
      <c r="I59" s="377"/>
      <c r="J59" s="377"/>
      <c r="K59" s="377"/>
      <c r="L59" s="379"/>
      <c r="M59" s="380"/>
      <c r="N59" s="377"/>
      <c r="O59" s="377"/>
      <c r="P59" s="379"/>
      <c r="Q59" s="380"/>
      <c r="R59" s="377"/>
      <c r="S59" s="377"/>
      <c r="T59" s="381"/>
      <c r="U59" s="376"/>
      <c r="V59" s="429" t="s">
        <v>924</v>
      </c>
      <c r="W59" s="395"/>
      <c r="X59" s="429"/>
      <c r="Y59" s="395"/>
      <c r="Z59" s="429" t="s">
        <v>924</v>
      </c>
      <c r="AA59" s="376"/>
      <c r="AB59" s="377"/>
      <c r="AC59" s="377"/>
      <c r="AD59" s="379"/>
      <c r="AE59" s="376"/>
      <c r="AF59" s="377"/>
      <c r="AG59" s="377"/>
      <c r="AH59" s="379"/>
      <c r="AI59" s="376"/>
      <c r="AJ59" s="379"/>
      <c r="AK59" s="675"/>
      <c r="BD59" s="668"/>
      <c r="BE59" s="668"/>
    </row>
    <row r="60" spans="1:62" s="374" customFormat="1" ht="51" x14ac:dyDescent="0.2">
      <c r="A60" s="363" t="s">
        <v>556</v>
      </c>
      <c r="B60" s="363" t="s">
        <v>557</v>
      </c>
      <c r="C60" s="363" t="s">
        <v>558</v>
      </c>
      <c r="D60" s="688"/>
      <c r="E60" s="363" t="s">
        <v>475</v>
      </c>
      <c r="F60" s="363" t="s">
        <v>476</v>
      </c>
      <c r="G60" s="366" t="s">
        <v>480</v>
      </c>
      <c r="H60" s="363" t="s">
        <v>481</v>
      </c>
      <c r="I60" s="363" t="s">
        <v>482</v>
      </c>
      <c r="J60" s="363" t="s">
        <v>483</v>
      </c>
      <c r="K60" s="363" t="s">
        <v>484</v>
      </c>
      <c r="L60" s="368" t="s">
        <v>485</v>
      </c>
      <c r="M60" s="688"/>
      <c r="N60" s="363" t="s">
        <v>486</v>
      </c>
      <c r="O60" s="363" t="s">
        <v>487</v>
      </c>
      <c r="P60" s="368" t="s">
        <v>488</v>
      </c>
      <c r="Q60" s="688"/>
      <c r="R60" s="363" t="s">
        <v>489</v>
      </c>
      <c r="S60" s="363" t="s">
        <v>487</v>
      </c>
      <c r="T60" s="369" t="s">
        <v>490</v>
      </c>
      <c r="U60" s="688"/>
      <c r="V60" s="370" t="s">
        <v>491</v>
      </c>
      <c r="W60" s="688"/>
      <c r="X60" s="370" t="s">
        <v>492</v>
      </c>
      <c r="Y60" s="688"/>
      <c r="Z60" s="370" t="s">
        <v>493</v>
      </c>
      <c r="AA60" s="688"/>
      <c r="AB60" s="363" t="s">
        <v>494</v>
      </c>
      <c r="AC60" s="363" t="s">
        <v>495</v>
      </c>
      <c r="AD60" s="368" t="s">
        <v>559</v>
      </c>
      <c r="AE60" s="688"/>
      <c r="AF60" s="363" t="s">
        <v>497</v>
      </c>
      <c r="AG60" s="363" t="s">
        <v>487</v>
      </c>
      <c r="AH60" s="368" t="s">
        <v>498</v>
      </c>
      <c r="AI60" s="688"/>
      <c r="AJ60" s="368" t="s">
        <v>560</v>
      </c>
      <c r="AK60" s="689"/>
      <c r="AL60" s="368" t="s">
        <v>929</v>
      </c>
      <c r="AM60" s="690" t="s">
        <v>930</v>
      </c>
      <c r="AN60" s="690"/>
      <c r="AO60" s="368"/>
      <c r="AP60" s="374" t="s">
        <v>931</v>
      </c>
      <c r="AQ60" s="374" t="s">
        <v>932</v>
      </c>
      <c r="AR60" s="374" t="s">
        <v>933</v>
      </c>
      <c r="AT60" s="668"/>
      <c r="AZ60" s="673"/>
      <c r="BD60" s="668"/>
      <c r="BE60" s="668"/>
      <c r="BG60" s="1164"/>
      <c r="BH60" s="1164"/>
      <c r="BI60" s="1164"/>
    </row>
    <row r="61" spans="1:62" x14ac:dyDescent="0.2">
      <c r="A61" s="375"/>
      <c r="B61" s="332"/>
      <c r="C61" s="332"/>
      <c r="D61" s="376"/>
      <c r="E61" s="377"/>
      <c r="F61" s="377"/>
      <c r="G61" s="691"/>
      <c r="H61" s="377"/>
      <c r="I61" s="377"/>
      <c r="J61" s="377"/>
      <c r="K61" s="377"/>
      <c r="L61" s="379"/>
      <c r="M61" s="380"/>
      <c r="N61" s="377"/>
      <c r="O61" s="377"/>
      <c r="P61" s="379"/>
      <c r="Q61" s="380"/>
      <c r="R61" s="377"/>
      <c r="S61" s="377"/>
      <c r="T61" s="381"/>
      <c r="U61" s="376"/>
      <c r="V61" s="429"/>
      <c r="W61" s="395"/>
      <c r="X61" s="429"/>
      <c r="Y61" s="395"/>
      <c r="Z61" s="429"/>
      <c r="AA61" s="376"/>
      <c r="AB61" s="377"/>
      <c r="AC61" s="377"/>
      <c r="AD61" s="379"/>
      <c r="AE61" s="376"/>
      <c r="AF61" s="377"/>
      <c r="AG61" s="377"/>
      <c r="AH61" s="379"/>
      <c r="AI61" s="376"/>
      <c r="AJ61" s="379"/>
      <c r="AK61" s="675"/>
      <c r="AO61" s="692"/>
      <c r="BD61" s="668"/>
      <c r="BE61" s="668"/>
    </row>
    <row r="62" spans="1:62" ht="15" x14ac:dyDescent="0.25">
      <c r="A62" s="375" t="s">
        <v>561</v>
      </c>
      <c r="B62" s="332" t="s">
        <v>562</v>
      </c>
      <c r="C62" s="332">
        <v>206189</v>
      </c>
      <c r="D62" s="376"/>
      <c r="E62" s="693"/>
      <c r="F62" s="694"/>
      <c r="G62" s="695">
        <v>15230</v>
      </c>
      <c r="H62" s="389"/>
      <c r="I62" s="696">
        <v>15230</v>
      </c>
      <c r="J62" s="389" t="s">
        <v>563</v>
      </c>
      <c r="K62" s="389">
        <v>3.6058989272000002</v>
      </c>
      <c r="L62" s="390">
        <v>54918</v>
      </c>
      <c r="M62" s="380"/>
      <c r="N62" s="391">
        <v>862.42105263157896</v>
      </c>
      <c r="O62" s="389">
        <v>0.2036</v>
      </c>
      <c r="P62" s="390">
        <v>6672.3792000000003</v>
      </c>
      <c r="Q62" s="380"/>
      <c r="R62" s="392">
        <v>8.4210526315789469</v>
      </c>
      <c r="S62" s="389">
        <v>1.7611399999999999</v>
      </c>
      <c r="T62" s="393">
        <v>563.56479999999999</v>
      </c>
      <c r="U62" s="376"/>
      <c r="V62" s="697"/>
      <c r="W62" s="395"/>
      <c r="X62" s="697"/>
      <c r="Y62" s="395"/>
      <c r="Z62" s="697"/>
      <c r="AA62" s="376"/>
      <c r="AB62" s="698"/>
      <c r="AC62" s="699"/>
      <c r="AD62" s="700">
        <v>0</v>
      </c>
      <c r="AE62" s="376"/>
      <c r="AF62" s="392">
        <v>113.05263157894737</v>
      </c>
      <c r="AG62" s="389">
        <v>0.2036</v>
      </c>
      <c r="AH62" s="390">
        <v>874.66560000000004</v>
      </c>
      <c r="AI62" s="376"/>
      <c r="AJ62" s="401">
        <v>63028.609599999996</v>
      </c>
      <c r="AK62" s="385"/>
      <c r="AL62" s="701">
        <v>68842.265848224008</v>
      </c>
      <c r="AM62" s="702">
        <v>-5813.6562482240115</v>
      </c>
      <c r="AN62" s="703"/>
      <c r="AO62" s="704"/>
      <c r="AP62" s="324">
        <v>4.1384510571240973</v>
      </c>
      <c r="AQ62" s="324">
        <v>3.6058989272000002</v>
      </c>
      <c r="AR62" s="705">
        <v>0.53255212992409717</v>
      </c>
      <c r="AU62" s="668"/>
      <c r="AW62" s="676"/>
      <c r="AX62" s="668"/>
      <c r="BD62" s="668"/>
      <c r="BE62" s="668"/>
    </row>
    <row r="63" spans="1:62" ht="15" x14ac:dyDescent="0.25">
      <c r="A63" s="491" t="s">
        <v>564</v>
      </c>
      <c r="B63" s="656"/>
      <c r="C63" s="706" t="s">
        <v>565</v>
      </c>
      <c r="D63" s="376"/>
      <c r="E63" s="707"/>
      <c r="F63" s="377"/>
      <c r="G63" s="695">
        <v>14550</v>
      </c>
      <c r="H63" s="387"/>
      <c r="I63" s="708">
        <v>14550</v>
      </c>
      <c r="J63" s="387" t="s">
        <v>563</v>
      </c>
      <c r="K63" s="389">
        <v>3.6058989272000002</v>
      </c>
      <c r="L63" s="404">
        <v>52466</v>
      </c>
      <c r="M63" s="380"/>
      <c r="N63" s="391">
        <v>1075.2631578947367</v>
      </c>
      <c r="O63" s="389">
        <v>0.2036</v>
      </c>
      <c r="P63" s="404">
        <v>8319.0959999999977</v>
      </c>
      <c r="Q63" s="380"/>
      <c r="R63" s="392">
        <v>0</v>
      </c>
      <c r="S63" s="389">
        <v>1.7611399999999999</v>
      </c>
      <c r="T63" s="405">
        <v>0</v>
      </c>
      <c r="U63" s="376"/>
      <c r="V63" s="709"/>
      <c r="W63" s="395"/>
      <c r="X63" s="709"/>
      <c r="Y63" s="395"/>
      <c r="Z63" s="709"/>
      <c r="AA63" s="376"/>
      <c r="AB63" s="710"/>
      <c r="AC63" s="711"/>
      <c r="AD63" s="712">
        <v>0</v>
      </c>
      <c r="AE63" s="376"/>
      <c r="AF63" s="392">
        <v>310.26315789473682</v>
      </c>
      <c r="AG63" s="389">
        <v>0.2036</v>
      </c>
      <c r="AH63" s="404">
        <v>2400.444</v>
      </c>
      <c r="AI63" s="376"/>
      <c r="AJ63" s="411">
        <v>63185.539999999994</v>
      </c>
      <c r="AK63" s="385"/>
      <c r="AL63" s="701">
        <v>56590.094084097604</v>
      </c>
      <c r="AM63" s="702">
        <v>6595.44591590239</v>
      </c>
      <c r="AN63" s="713"/>
      <c r="AO63" s="714"/>
      <c r="AP63" s="324">
        <v>4.3426487972508587</v>
      </c>
      <c r="AQ63" s="324">
        <v>3.6058989272000002</v>
      </c>
      <c r="AR63" s="705">
        <v>0.73674987005085857</v>
      </c>
      <c r="AU63" s="668"/>
      <c r="AW63" s="676"/>
      <c r="AX63" s="668"/>
      <c r="BD63" s="668"/>
      <c r="BE63" s="668"/>
    </row>
    <row r="64" spans="1:62" ht="15" x14ac:dyDescent="0.25">
      <c r="A64" s="375" t="s">
        <v>566</v>
      </c>
      <c r="B64" s="332" t="s">
        <v>567</v>
      </c>
      <c r="C64" s="332" t="s">
        <v>568</v>
      </c>
      <c r="D64" s="376"/>
      <c r="E64" s="707"/>
      <c r="F64" s="377"/>
      <c r="G64" s="695">
        <v>8880</v>
      </c>
      <c r="H64" s="387"/>
      <c r="I64" s="708">
        <v>8880</v>
      </c>
      <c r="J64" s="387" t="s">
        <v>563</v>
      </c>
      <c r="K64" s="389">
        <v>3.6058989272000002</v>
      </c>
      <c r="L64" s="404">
        <v>32020</v>
      </c>
      <c r="M64" s="380"/>
      <c r="N64" s="391">
        <v>356.0526315789474</v>
      </c>
      <c r="O64" s="389">
        <v>0.2036</v>
      </c>
      <c r="P64" s="404">
        <v>2754.7080000000005</v>
      </c>
      <c r="Q64" s="380"/>
      <c r="R64" s="392">
        <v>24.473684210526315</v>
      </c>
      <c r="S64" s="389">
        <v>1.7611399999999999</v>
      </c>
      <c r="T64" s="405">
        <v>1637.8601999999998</v>
      </c>
      <c r="U64" s="376"/>
      <c r="V64" s="709"/>
      <c r="W64" s="395"/>
      <c r="X64" s="709"/>
      <c r="Y64" s="395"/>
      <c r="Z64" s="709"/>
      <c r="AA64" s="376"/>
      <c r="AB64" s="710"/>
      <c r="AC64" s="711"/>
      <c r="AD64" s="712">
        <v>0</v>
      </c>
      <c r="AE64" s="376"/>
      <c r="AF64" s="392">
        <v>9.473684210526315</v>
      </c>
      <c r="AG64" s="389">
        <v>0.2036</v>
      </c>
      <c r="AH64" s="404">
        <v>73.295999999999992</v>
      </c>
      <c r="AI64" s="376"/>
      <c r="AJ64" s="411">
        <v>36485.864199999996</v>
      </c>
      <c r="AK64" s="385"/>
      <c r="AL64" s="701">
        <v>22352.473813776003</v>
      </c>
      <c r="AM64" s="702">
        <v>14133.390386223993</v>
      </c>
      <c r="AN64" s="713"/>
      <c r="AO64" s="714"/>
      <c r="AP64" s="324">
        <v>4.1087684909909905</v>
      </c>
      <c r="AQ64" s="324">
        <v>3.6058989272000002</v>
      </c>
      <c r="AR64" s="705">
        <v>0.50286956379099035</v>
      </c>
      <c r="AU64" s="668"/>
      <c r="AW64" s="676"/>
      <c r="AX64" s="668"/>
      <c r="BD64" s="668"/>
      <c r="BE64" s="668"/>
    </row>
    <row r="65" spans="1:57" ht="15" x14ac:dyDescent="0.25">
      <c r="A65" s="491" t="s">
        <v>569</v>
      </c>
      <c r="B65" s="715"/>
      <c r="C65" s="715" t="s">
        <v>570</v>
      </c>
      <c r="D65" s="376"/>
      <c r="E65" s="707"/>
      <c r="F65" s="377"/>
      <c r="G65" s="695">
        <v>1668</v>
      </c>
      <c r="H65" s="387"/>
      <c r="I65" s="708">
        <v>1668</v>
      </c>
      <c r="J65" s="387" t="s">
        <v>563</v>
      </c>
      <c r="K65" s="389">
        <v>3.6058989272000002</v>
      </c>
      <c r="L65" s="404">
        <v>6015</v>
      </c>
      <c r="M65" s="380"/>
      <c r="N65" s="391">
        <v>108</v>
      </c>
      <c r="O65" s="389">
        <v>0.2036</v>
      </c>
      <c r="P65" s="404">
        <v>835.57440000000008</v>
      </c>
      <c r="Q65" s="380"/>
      <c r="R65" s="392">
        <v>9.473684210526315</v>
      </c>
      <c r="S65" s="389">
        <v>1.7611399999999999</v>
      </c>
      <c r="T65" s="405">
        <v>634.01039999999989</v>
      </c>
      <c r="U65" s="376"/>
      <c r="V65" s="709"/>
      <c r="W65" s="395"/>
      <c r="X65" s="709"/>
      <c r="Y65" s="395"/>
      <c r="Z65" s="709"/>
      <c r="AA65" s="376"/>
      <c r="AB65" s="710"/>
      <c r="AC65" s="711"/>
      <c r="AD65" s="712">
        <v>0</v>
      </c>
      <c r="AE65" s="376"/>
      <c r="AF65" s="392">
        <v>0</v>
      </c>
      <c r="AG65" s="389">
        <v>0.2036</v>
      </c>
      <c r="AH65" s="404">
        <v>0</v>
      </c>
      <c r="AI65" s="376"/>
      <c r="AJ65" s="411">
        <v>7484.5848000000005</v>
      </c>
      <c r="AK65" s="385"/>
      <c r="AL65" s="701">
        <v>0</v>
      </c>
      <c r="AM65" s="702">
        <v>7484.5848000000005</v>
      </c>
      <c r="AN65" s="713"/>
      <c r="AO65" s="714"/>
      <c r="AP65" s="324">
        <v>4.4871611510791372</v>
      </c>
      <c r="AQ65" s="324">
        <v>3.6058989272000002</v>
      </c>
      <c r="AR65" s="705">
        <v>0.881262223879137</v>
      </c>
      <c r="AU65" s="668"/>
      <c r="AW65" s="676"/>
      <c r="AX65" s="668"/>
      <c r="BD65" s="668"/>
      <c r="BE65" s="668"/>
    </row>
    <row r="66" spans="1:57" ht="15" x14ac:dyDescent="0.25">
      <c r="A66" s="493" t="s">
        <v>571</v>
      </c>
      <c r="B66" s="332"/>
      <c r="C66" s="494" t="s">
        <v>572</v>
      </c>
      <c r="D66" s="376"/>
      <c r="E66" s="707"/>
      <c r="F66" s="377"/>
      <c r="G66" s="695">
        <v>2700</v>
      </c>
      <c r="H66" s="387"/>
      <c r="I66" s="708">
        <v>2700</v>
      </c>
      <c r="J66" s="387" t="s">
        <v>563</v>
      </c>
      <c r="K66" s="389">
        <v>3.6058989272000002</v>
      </c>
      <c r="L66" s="404">
        <v>9736</v>
      </c>
      <c r="M66" s="380"/>
      <c r="N66" s="391">
        <v>185.52631578947367</v>
      </c>
      <c r="O66" s="389">
        <v>0.2036</v>
      </c>
      <c r="P66" s="404">
        <v>1435.3799999999999</v>
      </c>
      <c r="Q66" s="380"/>
      <c r="R66" s="392">
        <v>0</v>
      </c>
      <c r="S66" s="389">
        <v>1.7611399999999999</v>
      </c>
      <c r="T66" s="405">
        <v>0</v>
      </c>
      <c r="U66" s="376"/>
      <c r="V66" s="709"/>
      <c r="W66" s="395"/>
      <c r="X66" s="709"/>
      <c r="Y66" s="395"/>
      <c r="Z66" s="709"/>
      <c r="AA66" s="376"/>
      <c r="AB66" s="710"/>
      <c r="AC66" s="711"/>
      <c r="AD66" s="712">
        <v>0</v>
      </c>
      <c r="AE66" s="376"/>
      <c r="AF66" s="392">
        <v>0</v>
      </c>
      <c r="AG66" s="389">
        <v>0.2036</v>
      </c>
      <c r="AH66" s="404">
        <v>0</v>
      </c>
      <c r="AI66" s="376"/>
      <c r="AJ66" s="411">
        <v>11171.38</v>
      </c>
      <c r="AK66" s="385"/>
      <c r="AL66" s="701">
        <v>0</v>
      </c>
      <c r="AM66" s="702">
        <v>11171.38</v>
      </c>
      <c r="AN66" s="713"/>
      <c r="AO66" s="714"/>
      <c r="AP66" s="324">
        <v>4.1375481481481478</v>
      </c>
      <c r="AQ66" s="324">
        <v>3.6058989272000002</v>
      </c>
      <c r="AR66" s="705">
        <v>0.53164922094814759</v>
      </c>
      <c r="AU66" s="668"/>
      <c r="AW66" s="676"/>
      <c r="AX66" s="668"/>
      <c r="BD66" s="668"/>
      <c r="BE66" s="668"/>
    </row>
    <row r="67" spans="1:57" ht="15" x14ac:dyDescent="0.25">
      <c r="A67" s="493" t="s">
        <v>573</v>
      </c>
      <c r="B67" s="332"/>
      <c r="C67" s="716" t="s">
        <v>1083</v>
      </c>
      <c r="D67" s="376"/>
      <c r="E67" s="707"/>
      <c r="F67" s="377"/>
      <c r="G67" s="695">
        <v>180</v>
      </c>
      <c r="H67" s="387"/>
      <c r="I67" s="708">
        <v>180</v>
      </c>
      <c r="J67" s="387" t="s">
        <v>563</v>
      </c>
      <c r="K67" s="389">
        <v>3.6058989272000002</v>
      </c>
      <c r="L67" s="404">
        <v>649</v>
      </c>
      <c r="M67" s="380"/>
      <c r="N67" s="391">
        <v>14.210526315789473</v>
      </c>
      <c r="O67" s="389">
        <v>0.2036</v>
      </c>
      <c r="P67" s="404">
        <v>109.94399999999999</v>
      </c>
      <c r="Q67" s="380"/>
      <c r="R67" s="392">
        <v>0</v>
      </c>
      <c r="S67" s="389">
        <v>1.7611399999999999</v>
      </c>
      <c r="T67" s="405">
        <v>0</v>
      </c>
      <c r="U67" s="376"/>
      <c r="V67" s="709"/>
      <c r="W67" s="395"/>
      <c r="X67" s="709"/>
      <c r="Y67" s="395"/>
      <c r="Z67" s="709"/>
      <c r="AA67" s="376"/>
      <c r="AB67" s="710"/>
      <c r="AC67" s="711"/>
      <c r="AD67" s="712">
        <v>0</v>
      </c>
      <c r="AE67" s="376"/>
      <c r="AF67" s="392">
        <v>0</v>
      </c>
      <c r="AG67" s="389">
        <v>0.2036</v>
      </c>
      <c r="AH67" s="404">
        <v>0</v>
      </c>
      <c r="AI67" s="376"/>
      <c r="AJ67" s="411">
        <v>758.94399999999996</v>
      </c>
      <c r="AK67" s="385"/>
      <c r="AL67" s="701">
        <v>0</v>
      </c>
      <c r="AM67" s="702">
        <v>758.94399999999996</v>
      </c>
      <c r="AN67" s="713"/>
      <c r="AO67" s="714"/>
      <c r="AP67" s="324">
        <v>4.2163555555555554</v>
      </c>
      <c r="AQ67" s="324">
        <v>3.6058989272000002</v>
      </c>
      <c r="AR67" s="705">
        <v>0.61045662835555525</v>
      </c>
      <c r="AU67" s="668"/>
      <c r="AW67" s="676"/>
      <c r="AX67" s="668"/>
      <c r="BD67" s="668"/>
      <c r="BE67" s="668"/>
    </row>
    <row r="68" spans="1:57" ht="15" x14ac:dyDescent="0.25">
      <c r="A68" s="496" t="s">
        <v>575</v>
      </c>
      <c r="B68" s="717"/>
      <c r="C68" s="717" t="s">
        <v>576</v>
      </c>
      <c r="D68" s="376"/>
      <c r="E68" s="707"/>
      <c r="F68" s="377"/>
      <c r="G68" s="695">
        <v>13572</v>
      </c>
      <c r="H68" s="387"/>
      <c r="I68" s="708">
        <v>13572</v>
      </c>
      <c r="J68" s="387" t="s">
        <v>563</v>
      </c>
      <c r="K68" s="389">
        <v>3.6058989272000002</v>
      </c>
      <c r="L68" s="404">
        <v>48939</v>
      </c>
      <c r="M68" s="380"/>
      <c r="N68" s="391">
        <v>506.36842105263156</v>
      </c>
      <c r="O68" s="389">
        <v>0.2036</v>
      </c>
      <c r="P68" s="404">
        <v>3917.6711999999998</v>
      </c>
      <c r="Q68" s="380"/>
      <c r="R68" s="392">
        <v>15</v>
      </c>
      <c r="S68" s="389">
        <v>1.7611399999999999</v>
      </c>
      <c r="T68" s="405">
        <v>1003.8498</v>
      </c>
      <c r="U68" s="376"/>
      <c r="V68" s="709"/>
      <c r="W68" s="395"/>
      <c r="X68" s="709"/>
      <c r="Y68" s="395"/>
      <c r="Z68" s="709"/>
      <c r="AA68" s="376"/>
      <c r="AB68" s="710"/>
      <c r="AC68" s="711"/>
      <c r="AD68" s="712">
        <v>0</v>
      </c>
      <c r="AE68" s="376"/>
      <c r="AF68" s="392">
        <v>13.578947368421053</v>
      </c>
      <c r="AG68" s="389">
        <v>0.2036</v>
      </c>
      <c r="AH68" s="404">
        <v>105.05760000000001</v>
      </c>
      <c r="AI68" s="376"/>
      <c r="AJ68" s="411">
        <v>53965.578600000001</v>
      </c>
      <c r="AK68" s="385"/>
      <c r="AL68" s="701">
        <v>25027.29459768</v>
      </c>
      <c r="AM68" s="702">
        <v>28938.284002320001</v>
      </c>
      <c r="AN68" s="713"/>
      <c r="AO68" s="714"/>
      <c r="AP68" s="324">
        <v>3.9762436339522549</v>
      </c>
      <c r="AQ68" s="324">
        <v>3.6058989272000002</v>
      </c>
      <c r="AR68" s="705">
        <v>0.37034470675225473</v>
      </c>
      <c r="AU68" s="668"/>
      <c r="AW68" s="676"/>
      <c r="AX68" s="668"/>
      <c r="BD68" s="668"/>
      <c r="BE68" s="668"/>
    </row>
    <row r="69" spans="1:57" ht="15" x14ac:dyDescent="0.25">
      <c r="A69" s="375" t="s">
        <v>577</v>
      </c>
      <c r="B69" s="332" t="s">
        <v>578</v>
      </c>
      <c r="C69" s="332">
        <v>206124</v>
      </c>
      <c r="D69" s="376"/>
      <c r="E69" s="707"/>
      <c r="F69" s="377"/>
      <c r="G69" s="695">
        <v>6834</v>
      </c>
      <c r="H69" s="387"/>
      <c r="I69" s="708">
        <v>6834</v>
      </c>
      <c r="J69" s="387" t="s">
        <v>579</v>
      </c>
      <c r="K69" s="389">
        <v>3.6058989272000002</v>
      </c>
      <c r="L69" s="404">
        <v>24643</v>
      </c>
      <c r="M69" s="380"/>
      <c r="N69" s="391">
        <v>333.63157894736844</v>
      </c>
      <c r="O69" s="389">
        <v>0.2036</v>
      </c>
      <c r="P69" s="404">
        <v>2581.2408</v>
      </c>
      <c r="Q69" s="380"/>
      <c r="R69" s="392">
        <v>4.7368421052631575</v>
      </c>
      <c r="S69" s="389">
        <v>1.7611399999999999</v>
      </c>
      <c r="T69" s="405">
        <v>317.00519999999995</v>
      </c>
      <c r="U69" s="376"/>
      <c r="V69" s="709"/>
      <c r="W69" s="395"/>
      <c r="X69" s="709"/>
      <c r="Y69" s="395"/>
      <c r="Z69" s="709"/>
      <c r="AA69" s="376"/>
      <c r="AB69" s="710"/>
      <c r="AC69" s="711"/>
      <c r="AD69" s="712">
        <v>0</v>
      </c>
      <c r="AE69" s="376"/>
      <c r="AF69" s="392">
        <v>20.526315789473685</v>
      </c>
      <c r="AG69" s="389">
        <v>0.2036</v>
      </c>
      <c r="AH69" s="404">
        <v>158.80799999999999</v>
      </c>
      <c r="AI69" s="376"/>
      <c r="AJ69" s="411">
        <v>27700.054</v>
      </c>
      <c r="AK69" s="385"/>
      <c r="AL69" s="701">
        <v>29928.11271492</v>
      </c>
      <c r="AM69" s="702">
        <v>-2228.0587149200001</v>
      </c>
      <c r="AN69" s="713"/>
      <c r="AO69" s="714"/>
      <c r="AP69" s="324">
        <v>4.0532709979514197</v>
      </c>
      <c r="AQ69" s="324">
        <v>3.6058989272000002</v>
      </c>
      <c r="AR69" s="705">
        <v>0.44737207075141949</v>
      </c>
      <c r="AU69" s="668"/>
      <c r="AW69" s="676"/>
      <c r="AX69" s="668"/>
      <c r="BD69" s="668"/>
      <c r="BE69" s="668"/>
    </row>
    <row r="70" spans="1:57" ht="15" x14ac:dyDescent="0.25">
      <c r="A70" s="375" t="s">
        <v>580</v>
      </c>
      <c r="B70" s="332" t="s">
        <v>581</v>
      </c>
      <c r="C70" s="332" t="s">
        <v>582</v>
      </c>
      <c r="D70" s="376"/>
      <c r="E70" s="707"/>
      <c r="F70" s="377"/>
      <c r="G70" s="695">
        <v>8692</v>
      </c>
      <c r="H70" s="387"/>
      <c r="I70" s="708">
        <v>8692</v>
      </c>
      <c r="J70" s="387" t="s">
        <v>579</v>
      </c>
      <c r="K70" s="389">
        <v>3.6058989272000002</v>
      </c>
      <c r="L70" s="404">
        <v>31342</v>
      </c>
      <c r="M70" s="380"/>
      <c r="N70" s="391">
        <v>12.315789473684209</v>
      </c>
      <c r="O70" s="389">
        <v>0.2036</v>
      </c>
      <c r="P70" s="404">
        <v>95.28479999999999</v>
      </c>
      <c r="Q70" s="380"/>
      <c r="R70" s="392">
        <v>0</v>
      </c>
      <c r="S70" s="389">
        <v>1.7611399999999999</v>
      </c>
      <c r="T70" s="405">
        <v>0</v>
      </c>
      <c r="U70" s="376"/>
      <c r="V70" s="709"/>
      <c r="W70" s="395"/>
      <c r="X70" s="709"/>
      <c r="Y70" s="395"/>
      <c r="Z70" s="709"/>
      <c r="AA70" s="376"/>
      <c r="AB70" s="710"/>
      <c r="AC70" s="711"/>
      <c r="AD70" s="712">
        <v>0</v>
      </c>
      <c r="AE70" s="376"/>
      <c r="AF70" s="392">
        <v>9.473684210526315</v>
      </c>
      <c r="AG70" s="389">
        <v>0.2036</v>
      </c>
      <c r="AH70" s="404">
        <v>73.295999999999992</v>
      </c>
      <c r="AI70" s="376"/>
      <c r="AJ70" s="411">
        <v>31510.5808</v>
      </c>
      <c r="AK70" s="385"/>
      <c r="AL70" s="701">
        <v>29911.340181124804</v>
      </c>
      <c r="AM70" s="702">
        <v>1599.2406188751957</v>
      </c>
      <c r="AN70" s="713"/>
      <c r="AO70" s="714"/>
      <c r="AP70" s="324">
        <v>3.6252393925448687</v>
      </c>
      <c r="AQ70" s="324">
        <v>3.6058989272000002</v>
      </c>
      <c r="AR70" s="705">
        <v>1.9340465344868552E-2</v>
      </c>
      <c r="AU70" s="668"/>
      <c r="AW70" s="676"/>
      <c r="AX70" s="668"/>
      <c r="BD70" s="668"/>
      <c r="BE70" s="668"/>
    </row>
    <row r="71" spans="1:57" ht="15" x14ac:dyDescent="0.25">
      <c r="A71" s="332" t="s">
        <v>583</v>
      </c>
      <c r="B71" s="332" t="s">
        <v>584</v>
      </c>
      <c r="C71" s="332">
        <v>206126</v>
      </c>
      <c r="D71" s="376"/>
      <c r="E71" s="707"/>
      <c r="F71" s="377"/>
      <c r="G71" s="695">
        <v>15432</v>
      </c>
      <c r="H71" s="387"/>
      <c r="I71" s="708">
        <v>15432</v>
      </c>
      <c r="J71" s="387" t="s">
        <v>579</v>
      </c>
      <c r="K71" s="389">
        <v>3.6058989272000002</v>
      </c>
      <c r="L71" s="404">
        <v>55646</v>
      </c>
      <c r="M71" s="380"/>
      <c r="N71" s="391">
        <v>58.421052631578945</v>
      </c>
      <c r="O71" s="389">
        <v>0.2036</v>
      </c>
      <c r="P71" s="404">
        <v>451.99200000000002</v>
      </c>
      <c r="Q71" s="380"/>
      <c r="R71" s="392">
        <v>0</v>
      </c>
      <c r="S71" s="389">
        <v>1.7611399999999999</v>
      </c>
      <c r="T71" s="405">
        <v>0</v>
      </c>
      <c r="U71" s="376"/>
      <c r="V71" s="709"/>
      <c r="W71" s="395"/>
      <c r="X71" s="709"/>
      <c r="Y71" s="395"/>
      <c r="Z71" s="709"/>
      <c r="AA71" s="376"/>
      <c r="AB71" s="710"/>
      <c r="AC71" s="711"/>
      <c r="AD71" s="712">
        <v>0</v>
      </c>
      <c r="AE71" s="376"/>
      <c r="AF71" s="392">
        <v>0</v>
      </c>
      <c r="AG71" s="389">
        <v>0.2036</v>
      </c>
      <c r="AH71" s="404">
        <v>0</v>
      </c>
      <c r="AI71" s="376"/>
      <c r="AJ71" s="411">
        <v>56097.991999999998</v>
      </c>
      <c r="AK71" s="385"/>
      <c r="AL71" s="701">
        <v>62627.702687304001</v>
      </c>
      <c r="AM71" s="702">
        <v>-6529.7106873040029</v>
      </c>
      <c r="AN71" s="713"/>
      <c r="AO71" s="714"/>
      <c r="AP71" s="324">
        <v>3.635173146708139</v>
      </c>
      <c r="AQ71" s="324">
        <v>3.6058989272000002</v>
      </c>
      <c r="AR71" s="705">
        <v>2.9274219508138799E-2</v>
      </c>
      <c r="AU71" s="668"/>
      <c r="AW71" s="676"/>
      <c r="AX71" s="668"/>
      <c r="BD71" s="668"/>
      <c r="BE71" s="668"/>
    </row>
    <row r="72" spans="1:57" ht="15" x14ac:dyDescent="0.25">
      <c r="A72" s="332" t="s">
        <v>585</v>
      </c>
      <c r="B72" s="332" t="s">
        <v>586</v>
      </c>
      <c r="C72" s="332">
        <v>206111</v>
      </c>
      <c r="D72" s="376"/>
      <c r="E72" s="707"/>
      <c r="F72" s="377"/>
      <c r="G72" s="695">
        <v>20544</v>
      </c>
      <c r="H72" s="387"/>
      <c r="I72" s="708">
        <v>20544</v>
      </c>
      <c r="J72" s="387" t="s">
        <v>563</v>
      </c>
      <c r="K72" s="389">
        <v>3.6058989272000002</v>
      </c>
      <c r="L72" s="404">
        <v>74080</v>
      </c>
      <c r="M72" s="380"/>
      <c r="N72" s="391">
        <v>50.526315789473685</v>
      </c>
      <c r="O72" s="389">
        <v>0.2036</v>
      </c>
      <c r="P72" s="404">
        <v>390.91199999999998</v>
      </c>
      <c r="Q72" s="380"/>
      <c r="R72" s="392">
        <v>0</v>
      </c>
      <c r="S72" s="389">
        <v>1.7611399999999999</v>
      </c>
      <c r="T72" s="405">
        <v>0</v>
      </c>
      <c r="U72" s="376"/>
      <c r="V72" s="709"/>
      <c r="W72" s="395"/>
      <c r="X72" s="709"/>
      <c r="Y72" s="395"/>
      <c r="Z72" s="709"/>
      <c r="AA72" s="376"/>
      <c r="AB72" s="710"/>
      <c r="AC72" s="711"/>
      <c r="AD72" s="712">
        <v>0</v>
      </c>
      <c r="AE72" s="376"/>
      <c r="AF72" s="392">
        <v>15</v>
      </c>
      <c r="AG72" s="389">
        <v>0.2036</v>
      </c>
      <c r="AH72" s="404">
        <v>116.05200000000001</v>
      </c>
      <c r="AI72" s="376"/>
      <c r="AJ72" s="411">
        <v>74586.964000000007</v>
      </c>
      <c r="AK72" s="385"/>
      <c r="AL72" s="701">
        <v>90460.4302288896</v>
      </c>
      <c r="AM72" s="702">
        <v>-15873.466228889592</v>
      </c>
      <c r="AN72" s="713"/>
      <c r="AO72" s="714"/>
      <c r="AP72" s="324">
        <v>3.6305959890965736</v>
      </c>
      <c r="AQ72" s="324">
        <v>3.6058989272000002</v>
      </c>
      <c r="AR72" s="705">
        <v>2.4697061896573391E-2</v>
      </c>
      <c r="AU72" s="668"/>
      <c r="AW72" s="676"/>
      <c r="AX72" s="668"/>
      <c r="BD72" s="668"/>
      <c r="BE72" s="668"/>
    </row>
    <row r="73" spans="1:57" ht="15" x14ac:dyDescent="0.25">
      <c r="A73" s="375" t="s">
        <v>587</v>
      </c>
      <c r="B73" s="332" t="s">
        <v>588</v>
      </c>
      <c r="C73" s="332">
        <v>206091</v>
      </c>
      <c r="D73" s="376"/>
      <c r="E73" s="707"/>
      <c r="F73" s="377"/>
      <c r="G73" s="695">
        <v>14346</v>
      </c>
      <c r="H73" s="387"/>
      <c r="I73" s="708">
        <v>14346</v>
      </c>
      <c r="J73" s="387" t="s">
        <v>563</v>
      </c>
      <c r="K73" s="389">
        <v>3.6058989272000002</v>
      </c>
      <c r="L73" s="404">
        <v>51730</v>
      </c>
      <c r="M73" s="380"/>
      <c r="N73" s="391">
        <v>66.315789473684205</v>
      </c>
      <c r="O73" s="389">
        <v>0.2036</v>
      </c>
      <c r="P73" s="404">
        <v>513.07199999999989</v>
      </c>
      <c r="Q73" s="380"/>
      <c r="R73" s="392">
        <v>4.7368421052631575</v>
      </c>
      <c r="S73" s="389">
        <v>1.7611399999999999</v>
      </c>
      <c r="T73" s="405">
        <v>317.00519999999995</v>
      </c>
      <c r="U73" s="376"/>
      <c r="V73" s="709"/>
      <c r="W73" s="395"/>
      <c r="X73" s="709"/>
      <c r="Y73" s="395"/>
      <c r="Z73" s="709"/>
      <c r="AA73" s="376"/>
      <c r="AB73" s="710"/>
      <c r="AC73" s="711"/>
      <c r="AD73" s="712">
        <v>0</v>
      </c>
      <c r="AE73" s="376"/>
      <c r="AF73" s="392">
        <v>4.7368421052631575</v>
      </c>
      <c r="AG73" s="389">
        <v>0.2036</v>
      </c>
      <c r="AH73" s="404">
        <v>36.647999999999996</v>
      </c>
      <c r="AI73" s="376"/>
      <c r="AJ73" s="411">
        <v>52596.725200000001</v>
      </c>
      <c r="AK73" s="385"/>
      <c r="AL73" s="701">
        <v>41161.321982035195</v>
      </c>
      <c r="AM73" s="702">
        <v>11435.403217964806</v>
      </c>
      <c r="AN73" s="713"/>
      <c r="AO73" s="714"/>
      <c r="AP73" s="324">
        <v>3.6662989822947165</v>
      </c>
      <c r="AQ73" s="324">
        <v>3.6058989272000002</v>
      </c>
      <c r="AR73" s="705">
        <v>6.0400055094716354E-2</v>
      </c>
      <c r="AU73" s="668"/>
      <c r="AW73" s="676"/>
      <c r="AX73" s="668"/>
      <c r="BD73" s="668"/>
      <c r="BE73" s="668"/>
    </row>
    <row r="74" spans="1:57" ht="15" x14ac:dyDescent="0.25">
      <c r="A74" s="718" t="s">
        <v>589</v>
      </c>
      <c r="B74" s="331"/>
      <c r="C74" s="719" t="s">
        <v>590</v>
      </c>
      <c r="D74" s="376"/>
      <c r="E74" s="707"/>
      <c r="F74" s="377"/>
      <c r="G74" s="695">
        <v>5730</v>
      </c>
      <c r="H74" s="387"/>
      <c r="I74" s="708">
        <v>5730</v>
      </c>
      <c r="J74" s="387" t="s">
        <v>563</v>
      </c>
      <c r="K74" s="389">
        <v>3.6058989272000002</v>
      </c>
      <c r="L74" s="404">
        <v>20662</v>
      </c>
      <c r="M74" s="380"/>
      <c r="N74" s="391">
        <v>362.84210526315792</v>
      </c>
      <c r="O74" s="389">
        <v>0.2036</v>
      </c>
      <c r="P74" s="404">
        <v>2807.2368000000001</v>
      </c>
      <c r="Q74" s="380"/>
      <c r="R74" s="392">
        <v>0</v>
      </c>
      <c r="S74" s="389">
        <v>1.7611399999999999</v>
      </c>
      <c r="T74" s="405">
        <v>0</v>
      </c>
      <c r="U74" s="376"/>
      <c r="V74" s="709"/>
      <c r="W74" s="395"/>
      <c r="X74" s="709"/>
      <c r="Y74" s="395"/>
      <c r="Z74" s="709"/>
      <c r="AA74" s="376"/>
      <c r="AB74" s="710"/>
      <c r="AC74" s="711"/>
      <c r="AD74" s="712">
        <v>0</v>
      </c>
      <c r="AE74" s="376"/>
      <c r="AF74" s="392">
        <v>133.57894736842104</v>
      </c>
      <c r="AG74" s="389">
        <v>0.2036</v>
      </c>
      <c r="AH74" s="404">
        <v>1033.4735999999998</v>
      </c>
      <c r="AI74" s="376"/>
      <c r="AJ74" s="411">
        <v>24502.7104</v>
      </c>
      <c r="AK74" s="385"/>
      <c r="AL74" s="701">
        <v>35950.6873117008</v>
      </c>
      <c r="AM74" s="702">
        <v>-11447.9769117008</v>
      </c>
      <c r="AN74" s="713"/>
      <c r="AO74" s="714"/>
      <c r="AP74" s="324">
        <v>4.2762147294938915</v>
      </c>
      <c r="AQ74" s="324">
        <v>3.6058989272000002</v>
      </c>
      <c r="AR74" s="705">
        <v>0.67031580229389132</v>
      </c>
      <c r="AU74" s="668"/>
      <c r="AW74" s="676"/>
      <c r="AX74" s="668"/>
      <c r="BD74" s="668"/>
      <c r="BE74" s="668"/>
    </row>
    <row r="75" spans="1:57" ht="15" x14ac:dyDescent="0.25">
      <c r="A75" s="375" t="s">
        <v>591</v>
      </c>
      <c r="B75" s="332" t="s">
        <v>592</v>
      </c>
      <c r="C75" s="332">
        <v>206128</v>
      </c>
      <c r="D75" s="376"/>
      <c r="E75" s="707"/>
      <c r="F75" s="377"/>
      <c r="G75" s="695">
        <v>7550</v>
      </c>
      <c r="H75" s="387"/>
      <c r="I75" s="708">
        <v>7550</v>
      </c>
      <c r="J75" s="387" t="s">
        <v>579</v>
      </c>
      <c r="K75" s="389">
        <v>3.6058989272000002</v>
      </c>
      <c r="L75" s="404">
        <v>27225</v>
      </c>
      <c r="M75" s="380"/>
      <c r="N75" s="391">
        <v>289.73684210526312</v>
      </c>
      <c r="O75" s="389">
        <v>0.2036</v>
      </c>
      <c r="P75" s="404">
        <v>2241.636</v>
      </c>
      <c r="Q75" s="380"/>
      <c r="R75" s="392">
        <v>10.263157894736842</v>
      </c>
      <c r="S75" s="389">
        <v>1.7611399999999999</v>
      </c>
      <c r="T75" s="405">
        <v>686.8445999999999</v>
      </c>
      <c r="U75" s="376"/>
      <c r="V75" s="709"/>
      <c r="W75" s="395"/>
      <c r="X75" s="709"/>
      <c r="Y75" s="395"/>
      <c r="Z75" s="709"/>
      <c r="AA75" s="376"/>
      <c r="AB75" s="710"/>
      <c r="AC75" s="711"/>
      <c r="AD75" s="712">
        <v>0</v>
      </c>
      <c r="AE75" s="376"/>
      <c r="AF75" s="392">
        <v>14.210526315789474</v>
      </c>
      <c r="AG75" s="389">
        <v>0.2036</v>
      </c>
      <c r="AH75" s="404">
        <v>109.944</v>
      </c>
      <c r="AI75" s="376"/>
      <c r="AJ75" s="411">
        <v>30263.424599999998</v>
      </c>
      <c r="AK75" s="385"/>
      <c r="AL75" s="701">
        <v>35894.206809168005</v>
      </c>
      <c r="AM75" s="702">
        <v>-5630.7822091680064</v>
      </c>
      <c r="AN75" s="713"/>
      <c r="AO75" s="714"/>
      <c r="AP75" s="324">
        <v>4.008400609271523</v>
      </c>
      <c r="AQ75" s="324">
        <v>3.6058989272000002</v>
      </c>
      <c r="AR75" s="705">
        <v>0.40250168207152281</v>
      </c>
      <c r="AU75" s="668"/>
      <c r="AW75" s="676"/>
      <c r="AX75" s="668"/>
      <c r="BD75" s="668"/>
      <c r="BE75" s="668"/>
    </row>
    <row r="76" spans="1:57" ht="15" x14ac:dyDescent="0.25">
      <c r="A76" s="502" t="s">
        <v>1084</v>
      </c>
      <c r="B76" s="503"/>
      <c r="C76" s="720" t="s">
        <v>597</v>
      </c>
      <c r="D76" s="376"/>
      <c r="E76" s="707"/>
      <c r="F76" s="377"/>
      <c r="G76" s="695">
        <v>180</v>
      </c>
      <c r="H76" s="387"/>
      <c r="I76" s="708">
        <v>180</v>
      </c>
      <c r="J76" s="387" t="s">
        <v>579</v>
      </c>
      <c r="K76" s="389">
        <v>3.6058989272000002</v>
      </c>
      <c r="L76" s="404">
        <v>649</v>
      </c>
      <c r="M76" s="380"/>
      <c r="N76" s="391">
        <v>4.7368421052631575</v>
      </c>
      <c r="O76" s="389">
        <v>0.2036</v>
      </c>
      <c r="P76" s="404">
        <v>36.647999999999996</v>
      </c>
      <c r="Q76" s="380"/>
      <c r="R76" s="392">
        <v>0</v>
      </c>
      <c r="S76" s="389">
        <v>1.7611399999999999</v>
      </c>
      <c r="T76" s="405">
        <v>0</v>
      </c>
      <c r="U76" s="376"/>
      <c r="V76" s="709"/>
      <c r="W76" s="395"/>
      <c r="X76" s="709"/>
      <c r="Y76" s="395"/>
      <c r="Z76" s="709"/>
      <c r="AA76" s="376"/>
      <c r="AB76" s="710"/>
      <c r="AC76" s="711"/>
      <c r="AD76" s="712">
        <v>0</v>
      </c>
      <c r="AE76" s="376"/>
      <c r="AF76" s="392">
        <v>0</v>
      </c>
      <c r="AG76" s="389">
        <v>0.2036</v>
      </c>
      <c r="AH76" s="404">
        <v>0</v>
      </c>
      <c r="AI76" s="376"/>
      <c r="AJ76" s="411">
        <v>685.64800000000002</v>
      </c>
      <c r="AK76" s="385"/>
      <c r="AL76" s="701">
        <v>0</v>
      </c>
      <c r="AM76" s="702">
        <v>685.64800000000002</v>
      </c>
      <c r="AN76" s="713"/>
      <c r="AO76" s="714"/>
      <c r="AP76" s="324">
        <v>3.8091555555555558</v>
      </c>
      <c r="AQ76" s="324">
        <v>3.6058989272000002</v>
      </c>
      <c r="AR76" s="705">
        <v>0.20325662835555569</v>
      </c>
      <c r="AU76" s="668"/>
      <c r="AW76" s="676"/>
      <c r="AX76" s="668"/>
      <c r="BD76" s="668"/>
      <c r="BE76" s="668"/>
    </row>
    <row r="77" spans="1:57" ht="15" x14ac:dyDescent="0.25">
      <c r="A77" s="505" t="s">
        <v>1085</v>
      </c>
      <c r="B77" s="503"/>
      <c r="C77" s="503" t="s">
        <v>598</v>
      </c>
      <c r="D77" s="376"/>
      <c r="E77" s="707"/>
      <c r="F77" s="377"/>
      <c r="G77" s="695">
        <v>0</v>
      </c>
      <c r="H77" s="387"/>
      <c r="I77" s="708">
        <v>0</v>
      </c>
      <c r="J77" s="387" t="s">
        <v>579</v>
      </c>
      <c r="K77" s="389">
        <v>3.6058989272000002</v>
      </c>
      <c r="L77" s="404">
        <v>0</v>
      </c>
      <c r="M77" s="380"/>
      <c r="N77" s="391">
        <v>0</v>
      </c>
      <c r="O77" s="389">
        <v>0.2036</v>
      </c>
      <c r="P77" s="404">
        <v>0</v>
      </c>
      <c r="Q77" s="380"/>
      <c r="R77" s="392">
        <v>0</v>
      </c>
      <c r="S77" s="389">
        <v>1.7611399999999999</v>
      </c>
      <c r="T77" s="405">
        <v>0</v>
      </c>
      <c r="U77" s="376"/>
      <c r="V77" s="709"/>
      <c r="W77" s="395"/>
      <c r="X77" s="709"/>
      <c r="Y77" s="395"/>
      <c r="Z77" s="709"/>
      <c r="AA77" s="376"/>
      <c r="AB77" s="710"/>
      <c r="AC77" s="711"/>
      <c r="AD77" s="712">
        <v>0</v>
      </c>
      <c r="AE77" s="376"/>
      <c r="AF77" s="392">
        <v>0</v>
      </c>
      <c r="AG77" s="389">
        <v>0.2036</v>
      </c>
      <c r="AH77" s="404">
        <v>0</v>
      </c>
      <c r="AI77" s="376"/>
      <c r="AJ77" s="411">
        <v>0</v>
      </c>
      <c r="AK77" s="385"/>
      <c r="AL77" s="701">
        <v>0</v>
      </c>
      <c r="AM77" s="702">
        <v>0</v>
      </c>
      <c r="AN77" s="713"/>
      <c r="AO77" s="714"/>
      <c r="AP77" s="324" t="e">
        <v>#DIV/0!</v>
      </c>
      <c r="AQ77" s="324">
        <v>3.6058989272000002</v>
      </c>
      <c r="AR77" s="705" t="e">
        <v>#DIV/0!</v>
      </c>
      <c r="AU77" s="668"/>
      <c r="AW77" s="676"/>
      <c r="AX77" s="668"/>
      <c r="BD77" s="668"/>
      <c r="BE77" s="668"/>
    </row>
    <row r="78" spans="1:57" ht="15" x14ac:dyDescent="0.25">
      <c r="A78" s="506" t="s">
        <v>1086</v>
      </c>
      <c r="B78" s="507"/>
      <c r="C78" s="507">
        <v>205999</v>
      </c>
      <c r="D78" s="376"/>
      <c r="E78" s="707"/>
      <c r="F78" s="377"/>
      <c r="G78" s="695">
        <v>540</v>
      </c>
      <c r="H78" s="387"/>
      <c r="I78" s="708">
        <v>540</v>
      </c>
      <c r="J78" s="387" t="s">
        <v>579</v>
      </c>
      <c r="K78" s="389">
        <v>3.6058989272000002</v>
      </c>
      <c r="L78" s="404">
        <v>1947</v>
      </c>
      <c r="M78" s="380"/>
      <c r="N78" s="391">
        <v>28.421052631578945</v>
      </c>
      <c r="O78" s="389">
        <v>0.2036</v>
      </c>
      <c r="P78" s="404">
        <v>219.88799999999998</v>
      </c>
      <c r="Q78" s="380"/>
      <c r="R78" s="392">
        <v>0</v>
      </c>
      <c r="S78" s="389">
        <v>1.7611399999999999</v>
      </c>
      <c r="T78" s="405">
        <v>0</v>
      </c>
      <c r="U78" s="376"/>
      <c r="V78" s="709"/>
      <c r="W78" s="395"/>
      <c r="X78" s="709"/>
      <c r="Y78" s="395"/>
      <c r="Z78" s="709"/>
      <c r="AA78" s="376"/>
      <c r="AB78" s="710"/>
      <c r="AC78" s="711"/>
      <c r="AD78" s="712">
        <v>0</v>
      </c>
      <c r="AE78" s="376"/>
      <c r="AF78" s="392">
        <v>4.7368421052631575</v>
      </c>
      <c r="AG78" s="389">
        <v>0.2036</v>
      </c>
      <c r="AH78" s="404">
        <v>36.647999999999996</v>
      </c>
      <c r="AI78" s="376"/>
      <c r="AJ78" s="411">
        <v>2203.5360000000001</v>
      </c>
      <c r="AK78" s="385"/>
      <c r="AL78" s="701">
        <v>1038.4988910336001</v>
      </c>
      <c r="AM78" s="702">
        <v>1165.0371089664</v>
      </c>
      <c r="AN78" s="713"/>
      <c r="AO78" s="714"/>
      <c r="AP78" s="324">
        <v>4.0806222222222219</v>
      </c>
      <c r="AQ78" s="324">
        <v>3.6058989272000002</v>
      </c>
      <c r="AR78" s="705">
        <v>0.47472329502222177</v>
      </c>
      <c r="AU78" s="668"/>
      <c r="AW78" s="676"/>
      <c r="AX78" s="668"/>
      <c r="BD78" s="668"/>
      <c r="BE78" s="668"/>
    </row>
    <row r="79" spans="1:57" ht="15" x14ac:dyDescent="0.25">
      <c r="A79" s="506" t="s">
        <v>1087</v>
      </c>
      <c r="B79" s="507"/>
      <c r="C79" s="507">
        <v>205921</v>
      </c>
      <c r="D79" s="376"/>
      <c r="E79" s="707"/>
      <c r="F79" s="377"/>
      <c r="G79" s="695">
        <v>72</v>
      </c>
      <c r="H79" s="387"/>
      <c r="I79" s="708">
        <v>72</v>
      </c>
      <c r="J79" s="387" t="s">
        <v>579</v>
      </c>
      <c r="K79" s="389">
        <v>3.6058989272000002</v>
      </c>
      <c r="L79" s="404">
        <v>260</v>
      </c>
      <c r="M79" s="380"/>
      <c r="N79" s="391">
        <v>0</v>
      </c>
      <c r="O79" s="389">
        <v>0.2036</v>
      </c>
      <c r="P79" s="404">
        <v>0</v>
      </c>
      <c r="Q79" s="380"/>
      <c r="R79" s="392">
        <v>0</v>
      </c>
      <c r="S79" s="389">
        <v>1.7611399999999999</v>
      </c>
      <c r="T79" s="405">
        <v>0</v>
      </c>
      <c r="U79" s="376"/>
      <c r="V79" s="709"/>
      <c r="W79" s="395"/>
      <c r="X79" s="709"/>
      <c r="Y79" s="395"/>
      <c r="Z79" s="709"/>
      <c r="AA79" s="376"/>
      <c r="AB79" s="710"/>
      <c r="AC79" s="711"/>
      <c r="AD79" s="712">
        <v>0</v>
      </c>
      <c r="AE79" s="376"/>
      <c r="AF79" s="392">
        <v>0</v>
      </c>
      <c r="AG79" s="389">
        <v>0.2036</v>
      </c>
      <c r="AH79" s="404">
        <v>0</v>
      </c>
      <c r="AI79" s="376"/>
      <c r="AJ79" s="411">
        <v>260</v>
      </c>
      <c r="AK79" s="385"/>
      <c r="AL79" s="701">
        <v>259.62472275840003</v>
      </c>
      <c r="AM79" s="702">
        <v>0.37527724159997433</v>
      </c>
      <c r="AN79" s="713"/>
      <c r="AO79" s="714"/>
      <c r="AP79" s="324">
        <v>3.6111111111111112</v>
      </c>
      <c r="AQ79" s="324">
        <v>3.6058989272000002</v>
      </c>
      <c r="AR79" s="705">
        <v>5.2121839111110013E-3</v>
      </c>
      <c r="AU79" s="668"/>
      <c r="AW79" s="676"/>
      <c r="AX79" s="668"/>
      <c r="BD79" s="668"/>
      <c r="BE79" s="668"/>
    </row>
    <row r="80" spans="1:57" ht="15" x14ac:dyDescent="0.25">
      <c r="A80" s="836" t="s">
        <v>1088</v>
      </c>
      <c r="B80" s="507"/>
      <c r="C80" s="511" t="s">
        <v>1089</v>
      </c>
      <c r="D80" s="376"/>
      <c r="E80" s="707"/>
      <c r="F80" s="377"/>
      <c r="G80" s="695">
        <v>348</v>
      </c>
      <c r="H80" s="387"/>
      <c r="I80" s="708">
        <v>348</v>
      </c>
      <c r="J80" s="387" t="s">
        <v>579</v>
      </c>
      <c r="K80" s="389">
        <v>3.6058989272000002</v>
      </c>
      <c r="L80" s="404">
        <v>1255</v>
      </c>
      <c r="M80" s="380"/>
      <c r="N80" s="391">
        <v>13.263157894736842</v>
      </c>
      <c r="O80" s="389">
        <v>0.2036</v>
      </c>
      <c r="P80" s="404">
        <v>102.6144</v>
      </c>
      <c r="Q80" s="380"/>
      <c r="R80" s="392">
        <v>0</v>
      </c>
      <c r="S80" s="389">
        <v>1.7611399999999999</v>
      </c>
      <c r="T80" s="405">
        <v>0</v>
      </c>
      <c r="U80" s="376"/>
      <c r="V80" s="709"/>
      <c r="W80" s="395"/>
      <c r="X80" s="709"/>
      <c r="Y80" s="395"/>
      <c r="Z80" s="709"/>
      <c r="AA80" s="376"/>
      <c r="AB80" s="710"/>
      <c r="AC80" s="711"/>
      <c r="AD80" s="712"/>
      <c r="AE80" s="376"/>
      <c r="AF80" s="392">
        <v>0</v>
      </c>
      <c r="AG80" s="389">
        <v>0.2036</v>
      </c>
      <c r="AH80" s="404">
        <v>0</v>
      </c>
      <c r="AI80" s="376"/>
      <c r="AJ80" s="411">
        <v>1357.6143999999999</v>
      </c>
      <c r="AK80" s="385"/>
      <c r="AL80" s="701">
        <v>0</v>
      </c>
      <c r="AM80" s="702">
        <v>1357.6143999999999</v>
      </c>
      <c r="AN80" s="713"/>
      <c r="AO80" s="714"/>
      <c r="AP80" s="324">
        <v>3.9011908045977011</v>
      </c>
      <c r="AQ80" s="324">
        <v>3.6058989272000002</v>
      </c>
      <c r="AR80" s="705">
        <v>0.29529187739770091</v>
      </c>
      <c r="AU80" s="668"/>
      <c r="AW80" s="676"/>
      <c r="AX80" s="668"/>
      <c r="BD80" s="668"/>
      <c r="BE80" s="668"/>
    </row>
    <row r="81" spans="1:57" ht="15" x14ac:dyDescent="0.25">
      <c r="A81" s="513" t="s">
        <v>1090</v>
      </c>
      <c r="B81" s="507"/>
      <c r="C81" s="507" t="s">
        <v>1091</v>
      </c>
      <c r="D81" s="376"/>
      <c r="E81" s="707"/>
      <c r="F81" s="377"/>
      <c r="G81" s="695">
        <v>540</v>
      </c>
      <c r="H81" s="387"/>
      <c r="I81" s="708">
        <v>540</v>
      </c>
      <c r="J81" s="387" t="s">
        <v>579</v>
      </c>
      <c r="K81" s="389">
        <v>3.6058989272000002</v>
      </c>
      <c r="L81" s="404">
        <v>1947</v>
      </c>
      <c r="M81" s="380"/>
      <c r="N81" s="391">
        <v>4.7368421052631575</v>
      </c>
      <c r="O81" s="389">
        <v>0.2036</v>
      </c>
      <c r="P81" s="404">
        <v>36.647999999999996</v>
      </c>
      <c r="Q81" s="380"/>
      <c r="R81" s="392">
        <v>0</v>
      </c>
      <c r="S81" s="389">
        <v>1.7611399999999999</v>
      </c>
      <c r="T81" s="405">
        <v>0</v>
      </c>
      <c r="U81" s="376"/>
      <c r="V81" s="709"/>
      <c r="W81" s="395"/>
      <c r="X81" s="709"/>
      <c r="Y81" s="395"/>
      <c r="Z81" s="709"/>
      <c r="AA81" s="376"/>
      <c r="AB81" s="710"/>
      <c r="AC81" s="711"/>
      <c r="AD81" s="712"/>
      <c r="AE81" s="376"/>
      <c r="AF81" s="392">
        <v>0</v>
      </c>
      <c r="AG81" s="389">
        <v>0.2036</v>
      </c>
      <c r="AH81" s="404">
        <v>0</v>
      </c>
      <c r="AI81" s="376"/>
      <c r="AJ81" s="411">
        <v>1983.6479999999999</v>
      </c>
      <c r="AK81" s="385"/>
      <c r="AL81" s="701">
        <v>0</v>
      </c>
      <c r="AM81" s="702">
        <v>1983.6479999999999</v>
      </c>
      <c r="AN81" s="713"/>
      <c r="AO81" s="714"/>
      <c r="AP81" s="324">
        <v>3.6734222222222219</v>
      </c>
      <c r="AQ81" s="324">
        <v>3.6058989272000002</v>
      </c>
      <c r="AR81" s="705">
        <v>6.7523295022221763E-2</v>
      </c>
      <c r="AU81" s="668"/>
      <c r="AW81" s="676"/>
      <c r="AX81" s="668"/>
      <c r="BD81" s="668"/>
      <c r="BE81" s="668"/>
    </row>
    <row r="82" spans="1:57" ht="15" x14ac:dyDescent="0.25">
      <c r="A82" s="505" t="s">
        <v>1092</v>
      </c>
      <c r="B82" s="503"/>
      <c r="C82" s="503">
        <v>205922</v>
      </c>
      <c r="D82" s="376"/>
      <c r="E82" s="707"/>
      <c r="F82" s="377"/>
      <c r="G82" s="695">
        <v>552</v>
      </c>
      <c r="H82" s="387"/>
      <c r="I82" s="708">
        <v>552</v>
      </c>
      <c r="J82" s="387" t="s">
        <v>579</v>
      </c>
      <c r="K82" s="389">
        <v>3.6058989272000002</v>
      </c>
      <c r="L82" s="404">
        <v>1990</v>
      </c>
      <c r="M82" s="380"/>
      <c r="N82" s="391">
        <v>11.684210526315788</v>
      </c>
      <c r="O82" s="389">
        <v>0.2036</v>
      </c>
      <c r="P82" s="404">
        <v>90.398399999999981</v>
      </c>
      <c r="Q82" s="380"/>
      <c r="R82" s="392">
        <v>0</v>
      </c>
      <c r="S82" s="389">
        <v>1.7611399999999999</v>
      </c>
      <c r="T82" s="405">
        <v>0</v>
      </c>
      <c r="U82" s="376"/>
      <c r="V82" s="709"/>
      <c r="W82" s="395"/>
      <c r="X82" s="709"/>
      <c r="Y82" s="395"/>
      <c r="Z82" s="709"/>
      <c r="AA82" s="376"/>
      <c r="AB82" s="710"/>
      <c r="AC82" s="711"/>
      <c r="AD82" s="712">
        <v>0</v>
      </c>
      <c r="AE82" s="376"/>
      <c r="AF82" s="392">
        <v>0</v>
      </c>
      <c r="AG82" s="389">
        <v>0.2036</v>
      </c>
      <c r="AH82" s="404">
        <v>0</v>
      </c>
      <c r="AI82" s="376"/>
      <c r="AJ82" s="411">
        <v>2080.3984</v>
      </c>
      <c r="AK82" s="385"/>
      <c r="AL82" s="701">
        <v>778.87416827520008</v>
      </c>
      <c r="AM82" s="702">
        <v>1301.5242317247998</v>
      </c>
      <c r="AN82" s="713"/>
      <c r="AO82" s="714"/>
      <c r="AP82" s="324">
        <v>3.7688376811594204</v>
      </c>
      <c r="AQ82" s="324">
        <v>3.6058989272000002</v>
      </c>
      <c r="AR82" s="705">
        <v>0.16293875395942026</v>
      </c>
      <c r="AU82" s="668"/>
      <c r="AW82" s="676"/>
      <c r="AX82" s="668"/>
    </row>
    <row r="83" spans="1:57" ht="15" x14ac:dyDescent="0.25">
      <c r="A83" s="515" t="s">
        <v>1093</v>
      </c>
      <c r="B83" s="503"/>
      <c r="C83" s="503" t="s">
        <v>604</v>
      </c>
      <c r="D83" s="376"/>
      <c r="E83" s="707"/>
      <c r="F83" s="377"/>
      <c r="G83" s="695">
        <v>180</v>
      </c>
      <c r="H83" s="387"/>
      <c r="I83" s="708">
        <v>180</v>
      </c>
      <c r="J83" s="387" t="s">
        <v>579</v>
      </c>
      <c r="K83" s="389">
        <v>3.6058989272000002</v>
      </c>
      <c r="L83" s="404">
        <v>649</v>
      </c>
      <c r="M83" s="380"/>
      <c r="N83" s="391">
        <v>4.7368421052631575</v>
      </c>
      <c r="O83" s="389">
        <v>0.2036</v>
      </c>
      <c r="P83" s="404">
        <v>36.647999999999996</v>
      </c>
      <c r="Q83" s="380"/>
      <c r="R83" s="392">
        <v>0</v>
      </c>
      <c r="S83" s="389">
        <v>1.7611399999999999</v>
      </c>
      <c r="T83" s="405">
        <v>0</v>
      </c>
      <c r="U83" s="376"/>
      <c r="V83" s="709"/>
      <c r="W83" s="395"/>
      <c r="X83" s="709"/>
      <c r="Y83" s="395"/>
      <c r="Z83" s="709"/>
      <c r="AA83" s="376"/>
      <c r="AB83" s="710"/>
      <c r="AC83" s="711"/>
      <c r="AD83" s="712"/>
      <c r="AE83" s="376"/>
      <c r="AF83" s="392">
        <v>0</v>
      </c>
      <c r="AG83" s="389">
        <v>0.2036</v>
      </c>
      <c r="AH83" s="404">
        <v>0</v>
      </c>
      <c r="AI83" s="376"/>
      <c r="AJ83" s="411">
        <v>685.64800000000002</v>
      </c>
      <c r="AK83" s="385"/>
      <c r="AL83" s="701">
        <v>0</v>
      </c>
      <c r="AM83" s="702">
        <v>685.64800000000002</v>
      </c>
      <c r="AN83" s="713"/>
      <c r="AO83" s="714"/>
      <c r="AP83" s="324">
        <v>3.8091555555555558</v>
      </c>
      <c r="AQ83" s="324">
        <v>3.6058989272000002</v>
      </c>
      <c r="AR83" s="705">
        <v>0.20325662835555569</v>
      </c>
      <c r="AU83" s="668"/>
      <c r="AW83" s="676"/>
      <c r="AX83" s="668"/>
    </row>
    <row r="84" spans="1:57" ht="15" x14ac:dyDescent="0.25">
      <c r="A84" s="836" t="s">
        <v>1094</v>
      </c>
      <c r="B84" s="503"/>
      <c r="C84" s="516" t="s">
        <v>603</v>
      </c>
      <c r="D84" s="376"/>
      <c r="E84" s="707"/>
      <c r="F84" s="377"/>
      <c r="G84" s="695">
        <v>180</v>
      </c>
      <c r="H84" s="387"/>
      <c r="I84" s="708">
        <v>180</v>
      </c>
      <c r="J84" s="387" t="s">
        <v>579</v>
      </c>
      <c r="K84" s="389">
        <v>3.6058989272000002</v>
      </c>
      <c r="L84" s="404">
        <v>649</v>
      </c>
      <c r="M84" s="380"/>
      <c r="N84" s="391">
        <v>0</v>
      </c>
      <c r="O84" s="389">
        <v>0.2036</v>
      </c>
      <c r="P84" s="404">
        <v>0</v>
      </c>
      <c r="Q84" s="380"/>
      <c r="R84" s="392">
        <v>0</v>
      </c>
      <c r="S84" s="389">
        <v>1.7611399999999999</v>
      </c>
      <c r="T84" s="405">
        <v>0</v>
      </c>
      <c r="U84" s="376"/>
      <c r="V84" s="709"/>
      <c r="W84" s="395"/>
      <c r="X84" s="709"/>
      <c r="Y84" s="395"/>
      <c r="Z84" s="709"/>
      <c r="AA84" s="376"/>
      <c r="AB84" s="710"/>
      <c r="AC84" s="711"/>
      <c r="AD84" s="712">
        <v>0</v>
      </c>
      <c r="AE84" s="376"/>
      <c r="AF84" s="392">
        <v>0</v>
      </c>
      <c r="AG84" s="389">
        <v>0.2036</v>
      </c>
      <c r="AH84" s="404">
        <v>0</v>
      </c>
      <c r="AI84" s="376"/>
      <c r="AJ84" s="411">
        <v>649</v>
      </c>
      <c r="AK84" s="385"/>
      <c r="AL84" s="701">
        <v>0</v>
      </c>
      <c r="AM84" s="702">
        <v>649</v>
      </c>
      <c r="AN84" s="713"/>
      <c r="AO84" s="714"/>
      <c r="AP84" s="324">
        <v>3.6055555555555556</v>
      </c>
      <c r="AQ84" s="324">
        <v>3.6058989272000002</v>
      </c>
      <c r="AR84" s="705">
        <v>-3.433716444445345E-4</v>
      </c>
      <c r="AU84" s="668"/>
      <c r="AW84" s="676"/>
      <c r="AX84" s="668"/>
    </row>
    <row r="85" spans="1:57" ht="15" x14ac:dyDescent="0.25">
      <c r="A85" s="506" t="s">
        <v>1095</v>
      </c>
      <c r="B85" s="507"/>
      <c r="C85" s="507">
        <v>205849</v>
      </c>
      <c r="D85" s="376"/>
      <c r="E85" s="707"/>
      <c r="F85" s="377"/>
      <c r="G85" s="695">
        <v>180</v>
      </c>
      <c r="H85" s="387"/>
      <c r="I85" s="708">
        <v>180</v>
      </c>
      <c r="J85" s="387" t="s">
        <v>579</v>
      </c>
      <c r="K85" s="389">
        <v>3.6058989272000002</v>
      </c>
      <c r="L85" s="404">
        <v>649</v>
      </c>
      <c r="M85" s="380"/>
      <c r="N85" s="391">
        <v>4.7368421052631575</v>
      </c>
      <c r="O85" s="389">
        <v>0.2036</v>
      </c>
      <c r="P85" s="404">
        <v>36.647999999999996</v>
      </c>
      <c r="Q85" s="380"/>
      <c r="R85" s="392">
        <v>0</v>
      </c>
      <c r="S85" s="389">
        <v>1.7611399999999999</v>
      </c>
      <c r="T85" s="405">
        <v>0</v>
      </c>
      <c r="U85" s="376"/>
      <c r="V85" s="709"/>
      <c r="W85" s="395"/>
      <c r="X85" s="709"/>
      <c r="Y85" s="395"/>
      <c r="Z85" s="709"/>
      <c r="AA85" s="376"/>
      <c r="AB85" s="710"/>
      <c r="AC85" s="711"/>
      <c r="AD85" s="712">
        <v>0</v>
      </c>
      <c r="AE85" s="376"/>
      <c r="AF85" s="392">
        <v>0</v>
      </c>
      <c r="AG85" s="389">
        <v>0.2036</v>
      </c>
      <c r="AH85" s="404">
        <v>0</v>
      </c>
      <c r="AI85" s="376"/>
      <c r="AJ85" s="411">
        <v>685.64800000000002</v>
      </c>
      <c r="AK85" s="385"/>
      <c r="AL85" s="701">
        <v>0</v>
      </c>
      <c r="AM85" s="702">
        <v>685.64800000000002</v>
      </c>
      <c r="AN85" s="713"/>
      <c r="AO85" s="714"/>
      <c r="AP85" s="324">
        <v>3.8091555555555558</v>
      </c>
      <c r="AQ85" s="324">
        <v>3.6058989272000002</v>
      </c>
      <c r="AR85" s="705">
        <v>0.20325662835555569</v>
      </c>
      <c r="AU85" s="668"/>
      <c r="AW85" s="676"/>
      <c r="AX85" s="668"/>
    </row>
    <row r="86" spans="1:57" ht="15" x14ac:dyDescent="0.25">
      <c r="A86" s="515" t="s">
        <v>1096</v>
      </c>
      <c r="B86" s="507"/>
      <c r="C86" s="507" t="s">
        <v>605</v>
      </c>
      <c r="D86" s="376"/>
      <c r="E86" s="707"/>
      <c r="F86" s="377"/>
      <c r="G86" s="695">
        <v>0</v>
      </c>
      <c r="H86" s="387"/>
      <c r="I86" s="708">
        <v>0</v>
      </c>
      <c r="J86" s="387" t="s">
        <v>579</v>
      </c>
      <c r="K86" s="389">
        <v>3.6058989272000002</v>
      </c>
      <c r="L86" s="404">
        <v>0</v>
      </c>
      <c r="M86" s="380"/>
      <c r="N86" s="391">
        <v>0</v>
      </c>
      <c r="O86" s="389">
        <v>0.2036</v>
      </c>
      <c r="P86" s="404">
        <v>0</v>
      </c>
      <c r="Q86" s="380"/>
      <c r="R86" s="392">
        <v>0</v>
      </c>
      <c r="S86" s="389">
        <v>1.7611399999999999</v>
      </c>
      <c r="T86" s="405">
        <v>0</v>
      </c>
      <c r="U86" s="376"/>
      <c r="V86" s="709"/>
      <c r="W86" s="395"/>
      <c r="X86" s="709"/>
      <c r="Y86" s="395"/>
      <c r="Z86" s="709"/>
      <c r="AA86" s="376"/>
      <c r="AB86" s="710"/>
      <c r="AC86" s="711"/>
      <c r="AD86" s="712"/>
      <c r="AE86" s="376"/>
      <c r="AF86" s="392">
        <v>0</v>
      </c>
      <c r="AG86" s="389">
        <v>0.2036</v>
      </c>
      <c r="AH86" s="404">
        <v>0</v>
      </c>
      <c r="AI86" s="376"/>
      <c r="AJ86" s="411">
        <v>0</v>
      </c>
      <c r="AK86" s="385"/>
      <c r="AL86" s="701">
        <v>0</v>
      </c>
      <c r="AM86" s="702">
        <v>0</v>
      </c>
      <c r="AN86" s="713"/>
      <c r="AO86" s="714"/>
      <c r="AP86" s="324" t="e">
        <v>#DIV/0!</v>
      </c>
      <c r="AQ86" s="324">
        <v>3.6058989272000002</v>
      </c>
      <c r="AR86" s="705" t="e">
        <v>#DIV/0!</v>
      </c>
      <c r="AU86" s="668"/>
      <c r="AW86" s="676"/>
      <c r="AX86" s="668"/>
    </row>
    <row r="87" spans="1:57" ht="15" x14ac:dyDescent="0.25">
      <c r="A87" s="505" t="s">
        <v>1097</v>
      </c>
      <c r="B87" s="503"/>
      <c r="C87" s="503" t="s">
        <v>1098</v>
      </c>
      <c r="D87" s="376"/>
      <c r="E87" s="707"/>
      <c r="F87" s="377"/>
      <c r="G87" s="695">
        <v>288</v>
      </c>
      <c r="H87" s="387"/>
      <c r="I87" s="708">
        <v>288</v>
      </c>
      <c r="J87" s="387" t="s">
        <v>579</v>
      </c>
      <c r="K87" s="389">
        <v>3.6058989272000002</v>
      </c>
      <c r="L87" s="404">
        <v>1038</v>
      </c>
      <c r="M87" s="380"/>
      <c r="N87" s="391">
        <v>0</v>
      </c>
      <c r="O87" s="389">
        <v>0.2036</v>
      </c>
      <c r="P87" s="404">
        <v>0</v>
      </c>
      <c r="Q87" s="380"/>
      <c r="R87" s="392">
        <v>0</v>
      </c>
      <c r="S87" s="389">
        <v>1.7611399999999999</v>
      </c>
      <c r="T87" s="405">
        <v>0</v>
      </c>
      <c r="U87" s="376"/>
      <c r="V87" s="709"/>
      <c r="W87" s="395"/>
      <c r="X87" s="709"/>
      <c r="Y87" s="395"/>
      <c r="Z87" s="709"/>
      <c r="AA87" s="376"/>
      <c r="AB87" s="710"/>
      <c r="AC87" s="711"/>
      <c r="AD87" s="712"/>
      <c r="AE87" s="376"/>
      <c r="AF87" s="392">
        <v>0</v>
      </c>
      <c r="AG87" s="389">
        <v>0.2036</v>
      </c>
      <c r="AH87" s="404">
        <v>0</v>
      </c>
      <c r="AI87" s="376"/>
      <c r="AJ87" s="411">
        <v>1038</v>
      </c>
      <c r="AK87" s="385"/>
      <c r="AL87" s="701">
        <v>0</v>
      </c>
      <c r="AM87" s="702">
        <v>1038</v>
      </c>
      <c r="AN87" s="713"/>
      <c r="AO87" s="714"/>
      <c r="AP87" s="324">
        <v>3.6041666666666665</v>
      </c>
      <c r="AQ87" s="324">
        <v>3.6058989272000002</v>
      </c>
      <c r="AR87" s="705">
        <v>-1.7322605333336405E-3</v>
      </c>
      <c r="AU87" s="668"/>
      <c r="AW87" s="676"/>
      <c r="AX87" s="668"/>
    </row>
    <row r="88" spans="1:57" ht="15" x14ac:dyDescent="0.25">
      <c r="A88" s="502" t="s">
        <v>1099</v>
      </c>
      <c r="B88" s="503"/>
      <c r="C88" s="494" t="s">
        <v>606</v>
      </c>
      <c r="D88" s="376"/>
      <c r="E88" s="707"/>
      <c r="F88" s="377"/>
      <c r="G88" s="695">
        <v>750</v>
      </c>
      <c r="H88" s="387"/>
      <c r="I88" s="708">
        <v>750</v>
      </c>
      <c r="J88" s="387" t="s">
        <v>579</v>
      </c>
      <c r="K88" s="389">
        <v>3.6058989272000002</v>
      </c>
      <c r="L88" s="404">
        <v>2704</v>
      </c>
      <c r="M88" s="380"/>
      <c r="N88" s="391">
        <v>0</v>
      </c>
      <c r="O88" s="389">
        <v>0.2036</v>
      </c>
      <c r="P88" s="404">
        <v>0</v>
      </c>
      <c r="Q88" s="380"/>
      <c r="R88" s="392">
        <v>0</v>
      </c>
      <c r="S88" s="389">
        <v>1.7611399999999999</v>
      </c>
      <c r="T88" s="405">
        <v>0</v>
      </c>
      <c r="U88" s="376"/>
      <c r="V88" s="709"/>
      <c r="W88" s="395"/>
      <c r="X88" s="709"/>
      <c r="Y88" s="395"/>
      <c r="Z88" s="709"/>
      <c r="AA88" s="376"/>
      <c r="AB88" s="710"/>
      <c r="AC88" s="711"/>
      <c r="AD88" s="712">
        <v>0</v>
      </c>
      <c r="AE88" s="376"/>
      <c r="AF88" s="392">
        <v>0</v>
      </c>
      <c r="AG88" s="389">
        <v>0.2036</v>
      </c>
      <c r="AH88" s="404">
        <v>0</v>
      </c>
      <c r="AI88" s="376"/>
      <c r="AJ88" s="411">
        <v>2704</v>
      </c>
      <c r="AK88" s="385"/>
      <c r="AL88" s="701">
        <v>649.06180689600001</v>
      </c>
      <c r="AM88" s="702">
        <v>2054.9381931039998</v>
      </c>
      <c r="AN88" s="713"/>
      <c r="AO88" s="714"/>
      <c r="AP88" s="324">
        <v>3.6053333333333333</v>
      </c>
      <c r="AQ88" s="324">
        <v>3.6058989272000002</v>
      </c>
      <c r="AR88" s="705">
        <v>-5.6559386666688027E-4</v>
      </c>
      <c r="AU88" s="668"/>
      <c r="AW88" s="676"/>
      <c r="AX88" s="668"/>
    </row>
    <row r="89" spans="1:57" ht="15" x14ac:dyDescent="0.25">
      <c r="A89" s="836" t="s">
        <v>1100</v>
      </c>
      <c r="B89" s="503"/>
      <c r="C89" s="494">
        <v>2</v>
      </c>
      <c r="D89" s="376"/>
      <c r="E89" s="707"/>
      <c r="F89" s="377"/>
      <c r="G89" s="695">
        <v>0</v>
      </c>
      <c r="H89" s="387"/>
      <c r="I89" s="708">
        <v>0</v>
      </c>
      <c r="J89" s="387" t="s">
        <v>579</v>
      </c>
      <c r="K89" s="389">
        <v>3.6058989272000002</v>
      </c>
      <c r="L89" s="404">
        <v>0</v>
      </c>
      <c r="M89" s="380"/>
      <c r="N89" s="391">
        <v>0</v>
      </c>
      <c r="O89" s="389">
        <v>0.2036</v>
      </c>
      <c r="P89" s="404">
        <v>0</v>
      </c>
      <c r="Q89" s="380"/>
      <c r="R89" s="392">
        <v>0</v>
      </c>
      <c r="S89" s="389">
        <v>1.7611399999999999</v>
      </c>
      <c r="T89" s="405">
        <v>0</v>
      </c>
      <c r="U89" s="376"/>
      <c r="V89" s="709"/>
      <c r="W89" s="395"/>
      <c r="X89" s="709"/>
      <c r="Y89" s="395"/>
      <c r="Z89" s="709"/>
      <c r="AA89" s="376"/>
      <c r="AB89" s="710"/>
      <c r="AC89" s="711"/>
      <c r="AD89" s="712">
        <v>0</v>
      </c>
      <c r="AE89" s="376"/>
      <c r="AF89" s="392">
        <v>0</v>
      </c>
      <c r="AG89" s="389">
        <v>0.2036</v>
      </c>
      <c r="AH89" s="404">
        <v>0</v>
      </c>
      <c r="AI89" s="376"/>
      <c r="AJ89" s="411">
        <v>0</v>
      </c>
      <c r="AK89" s="385"/>
      <c r="AL89" s="701">
        <v>0</v>
      </c>
      <c r="AM89" s="702">
        <v>0</v>
      </c>
      <c r="AN89" s="713"/>
      <c r="AO89" s="714"/>
      <c r="AP89" s="324" t="e">
        <v>#DIV/0!</v>
      </c>
      <c r="AQ89" s="324">
        <v>3.6058989272000002</v>
      </c>
      <c r="AR89" s="705" t="e">
        <v>#DIV/0!</v>
      </c>
      <c r="AU89" s="668"/>
      <c r="AW89" s="676"/>
      <c r="AX89" s="668"/>
    </row>
    <row r="90" spans="1:57" ht="15" x14ac:dyDescent="0.25">
      <c r="A90" s="515" t="s">
        <v>1101</v>
      </c>
      <c r="B90" s="503"/>
      <c r="C90" s="503">
        <v>205956</v>
      </c>
      <c r="D90" s="376"/>
      <c r="E90" s="707"/>
      <c r="F90" s="377"/>
      <c r="G90" s="695">
        <v>360</v>
      </c>
      <c r="H90" s="387"/>
      <c r="I90" s="708">
        <v>360</v>
      </c>
      <c r="J90" s="387" t="s">
        <v>579</v>
      </c>
      <c r="K90" s="389">
        <v>3.6058989272000002</v>
      </c>
      <c r="L90" s="404">
        <v>1298</v>
      </c>
      <c r="M90" s="380"/>
      <c r="N90" s="391">
        <v>18.94736842105263</v>
      </c>
      <c r="O90" s="389">
        <v>0.2036</v>
      </c>
      <c r="P90" s="404">
        <v>146.59199999999998</v>
      </c>
      <c r="Q90" s="380"/>
      <c r="R90" s="392">
        <v>4.7368421052631575</v>
      </c>
      <c r="S90" s="389">
        <v>1.7611399999999999</v>
      </c>
      <c r="T90" s="405">
        <v>317.00519999999995</v>
      </c>
      <c r="U90" s="376"/>
      <c r="V90" s="709"/>
      <c r="W90" s="395"/>
      <c r="X90" s="709"/>
      <c r="Y90" s="395"/>
      <c r="Z90" s="709"/>
      <c r="AA90" s="376"/>
      <c r="AB90" s="710"/>
      <c r="AC90" s="711"/>
      <c r="AD90" s="712">
        <v>0</v>
      </c>
      <c r="AE90" s="376"/>
      <c r="AF90" s="392">
        <v>0</v>
      </c>
      <c r="AG90" s="389">
        <v>0.2036</v>
      </c>
      <c r="AH90" s="404">
        <v>0</v>
      </c>
      <c r="AI90" s="376"/>
      <c r="AJ90" s="411">
        <v>1761.5971999999999</v>
      </c>
      <c r="AK90" s="385"/>
      <c r="AL90" s="701">
        <v>2057.1294206880002</v>
      </c>
      <c r="AM90" s="702">
        <v>-295.53222068800028</v>
      </c>
      <c r="AN90" s="713"/>
      <c r="AO90" s="714"/>
      <c r="AP90" s="324">
        <v>4.8933255555555553</v>
      </c>
      <c r="AQ90" s="324">
        <v>3.6058989272000002</v>
      </c>
      <c r="AR90" s="705">
        <v>1.2874266283555551</v>
      </c>
      <c r="AU90" s="668"/>
      <c r="AW90" s="676"/>
      <c r="AX90" s="668"/>
    </row>
    <row r="91" spans="1:57" ht="15" x14ac:dyDescent="0.25">
      <c r="A91" s="505" t="s">
        <v>1102</v>
      </c>
      <c r="B91" s="503"/>
      <c r="C91" s="503" t="s">
        <v>608</v>
      </c>
      <c r="D91" s="376"/>
      <c r="E91" s="707"/>
      <c r="F91" s="377"/>
      <c r="G91" s="695">
        <v>258</v>
      </c>
      <c r="H91" s="387"/>
      <c r="I91" s="708">
        <v>258</v>
      </c>
      <c r="J91" s="387" t="s">
        <v>579</v>
      </c>
      <c r="K91" s="389">
        <v>3.6058989272000002</v>
      </c>
      <c r="L91" s="404">
        <v>930</v>
      </c>
      <c r="M91" s="380"/>
      <c r="N91" s="391">
        <v>4.7368421052631575</v>
      </c>
      <c r="O91" s="389">
        <v>0.2036</v>
      </c>
      <c r="P91" s="404">
        <v>36.647999999999996</v>
      </c>
      <c r="Q91" s="380"/>
      <c r="R91" s="392">
        <v>0</v>
      </c>
      <c r="S91" s="389">
        <v>1.7611399999999999</v>
      </c>
      <c r="T91" s="405">
        <v>0</v>
      </c>
      <c r="U91" s="376"/>
      <c r="V91" s="709"/>
      <c r="W91" s="395"/>
      <c r="X91" s="709"/>
      <c r="Y91" s="395"/>
      <c r="Z91" s="709"/>
      <c r="AA91" s="376"/>
      <c r="AB91" s="710"/>
      <c r="AC91" s="711"/>
      <c r="AD91" s="712">
        <v>0</v>
      </c>
      <c r="AE91" s="376"/>
      <c r="AF91" s="392">
        <v>0</v>
      </c>
      <c r="AG91" s="389">
        <v>0.2036</v>
      </c>
      <c r="AH91" s="404">
        <v>0</v>
      </c>
      <c r="AI91" s="376"/>
      <c r="AJ91" s="411">
        <v>966.64800000000002</v>
      </c>
      <c r="AK91" s="385"/>
      <c r="AL91" s="701">
        <v>0</v>
      </c>
      <c r="AM91" s="702">
        <v>966.64800000000002</v>
      </c>
      <c r="AN91" s="713"/>
      <c r="AO91" s="714"/>
      <c r="AP91" s="324">
        <v>3.7466976744186047</v>
      </c>
      <c r="AQ91" s="324">
        <v>3.6058989272000002</v>
      </c>
      <c r="AR91" s="705">
        <v>0.14079874721860453</v>
      </c>
      <c r="AU91" s="668"/>
      <c r="AW91" s="676"/>
      <c r="AX91" s="668"/>
    </row>
    <row r="92" spans="1:57" ht="15" x14ac:dyDescent="0.25">
      <c r="A92" s="506" t="s">
        <v>1103</v>
      </c>
      <c r="B92" s="503"/>
      <c r="C92" s="503" t="s">
        <v>1104</v>
      </c>
      <c r="D92" s="376"/>
      <c r="E92" s="707"/>
      <c r="F92" s="377"/>
      <c r="G92" s="695">
        <v>180</v>
      </c>
      <c r="H92" s="387"/>
      <c r="I92" s="708">
        <v>180</v>
      </c>
      <c r="J92" s="387" t="s">
        <v>579</v>
      </c>
      <c r="K92" s="389">
        <v>3.6058989272000002</v>
      </c>
      <c r="L92" s="404">
        <v>649</v>
      </c>
      <c r="M92" s="380"/>
      <c r="N92" s="391">
        <v>14.210526315789473</v>
      </c>
      <c r="O92" s="389">
        <v>0.2036</v>
      </c>
      <c r="P92" s="404">
        <v>109.94399999999999</v>
      </c>
      <c r="Q92" s="380"/>
      <c r="R92" s="392">
        <v>0</v>
      </c>
      <c r="S92" s="389">
        <v>1.7611399999999999</v>
      </c>
      <c r="T92" s="405">
        <v>0</v>
      </c>
      <c r="U92" s="376"/>
      <c r="V92" s="709"/>
      <c r="W92" s="395"/>
      <c r="X92" s="709"/>
      <c r="Y92" s="395"/>
      <c r="Z92" s="709"/>
      <c r="AA92" s="376"/>
      <c r="AB92" s="710"/>
      <c r="AC92" s="711"/>
      <c r="AD92" s="712"/>
      <c r="AE92" s="376"/>
      <c r="AF92" s="392">
        <v>0</v>
      </c>
      <c r="AG92" s="389">
        <v>0.2036</v>
      </c>
      <c r="AH92" s="404">
        <v>0</v>
      </c>
      <c r="AI92" s="376"/>
      <c r="AJ92" s="411">
        <v>758.94399999999996</v>
      </c>
      <c r="AK92" s="385"/>
      <c r="AL92" s="701">
        <v>0</v>
      </c>
      <c r="AM92" s="702">
        <v>758.94399999999996</v>
      </c>
      <c r="AN92" s="713"/>
      <c r="AO92" s="714"/>
      <c r="AP92" s="324">
        <v>4.2163555555555554</v>
      </c>
      <c r="AQ92" s="324">
        <v>3.6058989272000002</v>
      </c>
      <c r="AR92" s="705">
        <v>0.61045662835555525</v>
      </c>
      <c r="AU92" s="668"/>
      <c r="AW92" s="676"/>
      <c r="AX92" s="668"/>
    </row>
    <row r="93" spans="1:57" ht="15" x14ac:dyDescent="0.25">
      <c r="A93" s="836" t="s">
        <v>1105</v>
      </c>
      <c r="B93" s="503"/>
      <c r="C93" s="516" t="s">
        <v>1106</v>
      </c>
      <c r="D93" s="376"/>
      <c r="E93" s="707"/>
      <c r="F93" s="377"/>
      <c r="G93" s="695">
        <v>180</v>
      </c>
      <c r="H93" s="387"/>
      <c r="I93" s="708">
        <v>180</v>
      </c>
      <c r="J93" s="387" t="s">
        <v>579</v>
      </c>
      <c r="K93" s="389">
        <v>3.6058989272000002</v>
      </c>
      <c r="L93" s="404">
        <v>649</v>
      </c>
      <c r="M93" s="380"/>
      <c r="N93" s="391">
        <v>4.7368421052631575</v>
      </c>
      <c r="O93" s="389">
        <v>0.2036</v>
      </c>
      <c r="P93" s="404">
        <v>36.647999999999996</v>
      </c>
      <c r="Q93" s="380"/>
      <c r="R93" s="392">
        <v>0</v>
      </c>
      <c r="S93" s="389">
        <v>1.7611399999999999</v>
      </c>
      <c r="T93" s="405">
        <v>0</v>
      </c>
      <c r="U93" s="376"/>
      <c r="V93" s="709"/>
      <c r="W93" s="395"/>
      <c r="X93" s="709"/>
      <c r="Y93" s="395"/>
      <c r="Z93" s="709"/>
      <c r="AA93" s="376"/>
      <c r="AB93" s="710"/>
      <c r="AC93" s="711"/>
      <c r="AD93" s="712"/>
      <c r="AE93" s="376"/>
      <c r="AF93" s="392">
        <v>0</v>
      </c>
      <c r="AG93" s="389">
        <v>0.2036</v>
      </c>
      <c r="AH93" s="404">
        <v>0</v>
      </c>
      <c r="AI93" s="376"/>
      <c r="AJ93" s="411">
        <v>685.64800000000002</v>
      </c>
      <c r="AK93" s="385"/>
      <c r="AL93" s="701">
        <v>0</v>
      </c>
      <c r="AM93" s="702">
        <v>685.64800000000002</v>
      </c>
      <c r="AN93" s="713"/>
      <c r="AO93" s="714"/>
      <c r="AP93" s="324">
        <v>3.8091555555555558</v>
      </c>
      <c r="AQ93" s="324">
        <v>3.6058989272000002</v>
      </c>
      <c r="AR93" s="705">
        <v>0.20325662835555569</v>
      </c>
      <c r="AU93" s="668"/>
      <c r="AW93" s="676"/>
      <c r="AX93" s="668"/>
    </row>
    <row r="94" spans="1:57" ht="15" x14ac:dyDescent="0.25">
      <c r="A94" s="506" t="s">
        <v>1107</v>
      </c>
      <c r="B94" s="503"/>
      <c r="C94" s="503" t="s">
        <v>611</v>
      </c>
      <c r="D94" s="376"/>
      <c r="E94" s="707"/>
      <c r="F94" s="377"/>
      <c r="G94" s="695">
        <v>828</v>
      </c>
      <c r="H94" s="387"/>
      <c r="I94" s="708">
        <v>828</v>
      </c>
      <c r="J94" s="387" t="s">
        <v>579</v>
      </c>
      <c r="K94" s="389">
        <v>3.6058989272000002</v>
      </c>
      <c r="L94" s="404">
        <v>2986</v>
      </c>
      <c r="M94" s="380"/>
      <c r="N94" s="391">
        <v>10.263157894736842</v>
      </c>
      <c r="O94" s="389">
        <v>0.2036</v>
      </c>
      <c r="P94" s="404">
        <v>79.403999999999996</v>
      </c>
      <c r="Q94" s="380"/>
      <c r="R94" s="392">
        <v>0</v>
      </c>
      <c r="S94" s="389">
        <v>1.7611399999999999</v>
      </c>
      <c r="T94" s="405">
        <v>0</v>
      </c>
      <c r="U94" s="376"/>
      <c r="V94" s="709"/>
      <c r="W94" s="395"/>
      <c r="X94" s="709"/>
      <c r="Y94" s="395"/>
      <c r="Z94" s="709"/>
      <c r="AA94" s="376"/>
      <c r="AB94" s="710"/>
      <c r="AC94" s="711"/>
      <c r="AD94" s="712">
        <v>0</v>
      </c>
      <c r="AE94" s="376"/>
      <c r="AF94" s="392">
        <v>0</v>
      </c>
      <c r="AG94" s="389">
        <v>0.2036</v>
      </c>
      <c r="AH94" s="404">
        <v>0</v>
      </c>
      <c r="AI94" s="376"/>
      <c r="AJ94" s="411">
        <v>3065.404</v>
      </c>
      <c r="AK94" s="385"/>
      <c r="AL94" s="701">
        <v>0</v>
      </c>
      <c r="AM94" s="702">
        <v>3065.404</v>
      </c>
      <c r="AN94" s="713"/>
      <c r="AO94" s="714"/>
      <c r="AP94" s="324">
        <v>3.7021787439613525</v>
      </c>
      <c r="AQ94" s="324">
        <v>3.6058989272000002</v>
      </c>
      <c r="AR94" s="705">
        <v>9.6279816761352333E-2</v>
      </c>
      <c r="AU94" s="668"/>
      <c r="AW94" s="676"/>
      <c r="AX94" s="668"/>
    </row>
    <row r="95" spans="1:57" ht="15" x14ac:dyDescent="0.25">
      <c r="A95" s="515" t="s">
        <v>1108</v>
      </c>
      <c r="B95" s="503"/>
      <c r="C95" s="503" t="s">
        <v>1109</v>
      </c>
      <c r="D95" s="376"/>
      <c r="E95" s="707"/>
      <c r="F95" s="377"/>
      <c r="G95" s="695">
        <v>180</v>
      </c>
      <c r="H95" s="387"/>
      <c r="I95" s="708">
        <v>180</v>
      </c>
      <c r="J95" s="387" t="s">
        <v>579</v>
      </c>
      <c r="K95" s="389">
        <v>3.6058989272000002</v>
      </c>
      <c r="L95" s="404">
        <v>649</v>
      </c>
      <c r="M95" s="380"/>
      <c r="N95" s="391">
        <v>4.7368421052631575</v>
      </c>
      <c r="O95" s="389">
        <v>0.2036</v>
      </c>
      <c r="P95" s="404">
        <v>36.647999999999996</v>
      </c>
      <c r="Q95" s="380"/>
      <c r="R95" s="392">
        <v>0</v>
      </c>
      <c r="S95" s="389">
        <v>1.7611399999999999</v>
      </c>
      <c r="T95" s="405">
        <v>0</v>
      </c>
      <c r="U95" s="376"/>
      <c r="V95" s="709"/>
      <c r="W95" s="395"/>
      <c r="X95" s="709"/>
      <c r="Y95" s="395"/>
      <c r="Z95" s="709"/>
      <c r="AA95" s="376"/>
      <c r="AB95" s="710"/>
      <c r="AC95" s="711"/>
      <c r="AD95" s="712"/>
      <c r="AE95" s="376"/>
      <c r="AF95" s="392">
        <v>0</v>
      </c>
      <c r="AG95" s="389">
        <v>0.2036</v>
      </c>
      <c r="AH95" s="404">
        <v>0</v>
      </c>
      <c r="AI95" s="376"/>
      <c r="AJ95" s="411">
        <v>685.64800000000002</v>
      </c>
      <c r="AK95" s="385"/>
      <c r="AL95" s="701">
        <v>0</v>
      </c>
      <c r="AM95" s="702">
        <v>685.64800000000002</v>
      </c>
      <c r="AN95" s="713"/>
      <c r="AO95" s="714"/>
      <c r="AP95" s="324">
        <v>3.8091555555555558</v>
      </c>
      <c r="AQ95" s="324">
        <v>3.6058989272000002</v>
      </c>
      <c r="AR95" s="705">
        <v>0.20325662835555569</v>
      </c>
      <c r="AU95" s="668"/>
      <c r="AW95" s="676"/>
      <c r="AX95" s="668"/>
    </row>
    <row r="96" spans="1:57" ht="15" x14ac:dyDescent="0.25">
      <c r="A96" s="505" t="s">
        <v>1110</v>
      </c>
      <c r="B96" s="503"/>
      <c r="C96" s="503" t="s">
        <v>612</v>
      </c>
      <c r="D96" s="376"/>
      <c r="E96" s="707"/>
      <c r="F96" s="377"/>
      <c r="G96" s="695">
        <v>0</v>
      </c>
      <c r="H96" s="387"/>
      <c r="I96" s="708">
        <v>0</v>
      </c>
      <c r="J96" s="387" t="s">
        <v>579</v>
      </c>
      <c r="K96" s="389">
        <v>3.6058989272000002</v>
      </c>
      <c r="L96" s="404">
        <v>0</v>
      </c>
      <c r="M96" s="380"/>
      <c r="N96" s="391">
        <v>0</v>
      </c>
      <c r="O96" s="389">
        <v>0.2036</v>
      </c>
      <c r="P96" s="404">
        <v>0</v>
      </c>
      <c r="Q96" s="380"/>
      <c r="R96" s="392">
        <v>0</v>
      </c>
      <c r="S96" s="389">
        <v>1.7611399999999999</v>
      </c>
      <c r="T96" s="405">
        <v>0</v>
      </c>
      <c r="U96" s="376"/>
      <c r="V96" s="709"/>
      <c r="W96" s="395"/>
      <c r="X96" s="709"/>
      <c r="Y96" s="395"/>
      <c r="Z96" s="709"/>
      <c r="AA96" s="376"/>
      <c r="AB96" s="710"/>
      <c r="AC96" s="711"/>
      <c r="AD96" s="712">
        <v>0</v>
      </c>
      <c r="AE96" s="376"/>
      <c r="AF96" s="392">
        <v>0</v>
      </c>
      <c r="AG96" s="389">
        <v>0.2036</v>
      </c>
      <c r="AH96" s="404">
        <v>0</v>
      </c>
      <c r="AI96" s="376"/>
      <c r="AJ96" s="411">
        <v>0</v>
      </c>
      <c r="AK96" s="385"/>
      <c r="AL96" s="701">
        <v>0</v>
      </c>
      <c r="AM96" s="702">
        <v>0</v>
      </c>
      <c r="AN96" s="713"/>
      <c r="AO96" s="714"/>
      <c r="AP96" s="324" t="e">
        <v>#DIV/0!</v>
      </c>
      <c r="AQ96" s="324">
        <v>3.6058989272000002</v>
      </c>
      <c r="AR96" s="705" t="e">
        <v>#DIV/0!</v>
      </c>
      <c r="AU96" s="668"/>
      <c r="AW96" s="676"/>
      <c r="AX96" s="668"/>
    </row>
    <row r="97" spans="1:57" ht="15" x14ac:dyDescent="0.25">
      <c r="A97" s="513" t="s">
        <v>1111</v>
      </c>
      <c r="B97" s="503"/>
      <c r="C97" s="503" t="s">
        <v>613</v>
      </c>
      <c r="D97" s="376"/>
      <c r="E97" s="707"/>
      <c r="F97" s="377"/>
      <c r="G97" s="695">
        <v>180</v>
      </c>
      <c r="H97" s="387"/>
      <c r="I97" s="708">
        <v>180</v>
      </c>
      <c r="J97" s="387" t="s">
        <v>579</v>
      </c>
      <c r="K97" s="389">
        <v>3.6058989272000002</v>
      </c>
      <c r="L97" s="404">
        <v>649</v>
      </c>
      <c r="M97" s="380"/>
      <c r="N97" s="391">
        <v>14.210526315789473</v>
      </c>
      <c r="O97" s="389">
        <v>0.2036</v>
      </c>
      <c r="P97" s="404">
        <v>109.94399999999999</v>
      </c>
      <c r="Q97" s="380"/>
      <c r="R97" s="392">
        <v>0</v>
      </c>
      <c r="S97" s="389">
        <v>1.7611399999999999</v>
      </c>
      <c r="T97" s="405">
        <v>0</v>
      </c>
      <c r="U97" s="376"/>
      <c r="V97" s="709"/>
      <c r="W97" s="395"/>
      <c r="X97" s="709"/>
      <c r="Y97" s="395"/>
      <c r="Z97" s="709"/>
      <c r="AA97" s="376"/>
      <c r="AB97" s="710"/>
      <c r="AC97" s="711"/>
      <c r="AD97" s="712">
        <v>0</v>
      </c>
      <c r="AE97" s="376"/>
      <c r="AF97" s="392">
        <v>0</v>
      </c>
      <c r="AG97" s="389">
        <v>0.2036</v>
      </c>
      <c r="AH97" s="404">
        <v>0</v>
      </c>
      <c r="AI97" s="376"/>
      <c r="AJ97" s="411">
        <v>758.94399999999996</v>
      </c>
      <c r="AK97" s="385"/>
      <c r="AL97" s="701">
        <v>649.06180689600001</v>
      </c>
      <c r="AM97" s="702">
        <v>109.88219310399995</v>
      </c>
      <c r="AN97" s="713"/>
      <c r="AO97" s="714"/>
      <c r="AP97" s="324">
        <v>4.2163555555555554</v>
      </c>
      <c r="AQ97" s="324">
        <v>3.6058989272000002</v>
      </c>
      <c r="AR97" s="705">
        <v>0.61045662835555525</v>
      </c>
      <c r="AU97" s="668"/>
      <c r="AW97" s="676"/>
      <c r="AX97" s="668"/>
      <c r="BD97" s="668"/>
      <c r="BE97" s="668"/>
    </row>
    <row r="98" spans="1:57" ht="15" x14ac:dyDescent="0.25">
      <c r="A98" s="721" t="s">
        <v>1112</v>
      </c>
      <c r="B98" s="722"/>
      <c r="C98" s="722" t="s">
        <v>1113</v>
      </c>
      <c r="D98" s="376"/>
      <c r="E98" s="707"/>
      <c r="F98" s="377"/>
      <c r="G98" s="695">
        <v>180</v>
      </c>
      <c r="H98" s="387"/>
      <c r="I98" s="708">
        <v>180</v>
      </c>
      <c r="J98" s="387" t="s">
        <v>579</v>
      </c>
      <c r="K98" s="389">
        <v>3.6058989272000002</v>
      </c>
      <c r="L98" s="404">
        <v>649</v>
      </c>
      <c r="M98" s="380"/>
      <c r="N98" s="391">
        <v>0</v>
      </c>
      <c r="O98" s="389">
        <v>0.2036</v>
      </c>
      <c r="P98" s="404">
        <v>0</v>
      </c>
      <c r="Q98" s="380"/>
      <c r="R98" s="392">
        <v>0</v>
      </c>
      <c r="S98" s="389">
        <v>1.7611399999999999</v>
      </c>
      <c r="T98" s="405">
        <v>0</v>
      </c>
      <c r="U98" s="376"/>
      <c r="V98" s="709"/>
      <c r="W98" s="395"/>
      <c r="X98" s="709"/>
      <c r="Y98" s="395"/>
      <c r="Z98" s="709"/>
      <c r="AA98" s="376"/>
      <c r="AB98" s="710"/>
      <c r="AC98" s="711"/>
      <c r="AD98" s="712"/>
      <c r="AE98" s="376"/>
      <c r="AF98" s="392">
        <v>0</v>
      </c>
      <c r="AG98" s="389">
        <v>0.2036</v>
      </c>
      <c r="AH98" s="404">
        <v>0</v>
      </c>
      <c r="AI98" s="376"/>
      <c r="AJ98" s="411">
        <v>649</v>
      </c>
      <c r="AK98" s="385"/>
      <c r="AL98" s="701">
        <v>0</v>
      </c>
      <c r="AM98" s="702">
        <v>649</v>
      </c>
      <c r="AN98" s="713"/>
      <c r="AO98" s="714"/>
      <c r="AP98" s="324">
        <v>3.6055555555555556</v>
      </c>
      <c r="AQ98" s="324">
        <v>3.6058989272000002</v>
      </c>
      <c r="AR98" s="705">
        <v>-3.433716444445345E-4</v>
      </c>
      <c r="AU98" s="668"/>
      <c r="AW98" s="676"/>
      <c r="AX98" s="668"/>
    </row>
    <row r="99" spans="1:57" ht="15" x14ac:dyDescent="0.25">
      <c r="A99" s="522" t="s">
        <v>1114</v>
      </c>
      <c r="B99" s="523"/>
      <c r="C99" s="523" t="s">
        <v>615</v>
      </c>
      <c r="D99" s="376"/>
      <c r="E99" s="707"/>
      <c r="F99" s="377"/>
      <c r="G99" s="695">
        <v>360</v>
      </c>
      <c r="H99" s="387"/>
      <c r="I99" s="708">
        <v>360</v>
      </c>
      <c r="J99" s="387" t="s">
        <v>579</v>
      </c>
      <c r="K99" s="389">
        <v>3.6058989272000002</v>
      </c>
      <c r="L99" s="404">
        <v>1298</v>
      </c>
      <c r="M99" s="380"/>
      <c r="N99" s="391">
        <v>14.210526315789473</v>
      </c>
      <c r="O99" s="389">
        <v>0.2036</v>
      </c>
      <c r="P99" s="404">
        <v>109.94399999999999</v>
      </c>
      <c r="Q99" s="380"/>
      <c r="R99" s="392">
        <v>4.7368421052631575</v>
      </c>
      <c r="S99" s="389">
        <v>1.7611399999999999</v>
      </c>
      <c r="T99" s="405">
        <v>317.00519999999995</v>
      </c>
      <c r="U99" s="376"/>
      <c r="V99" s="709"/>
      <c r="W99" s="395"/>
      <c r="X99" s="709"/>
      <c r="Y99" s="395"/>
      <c r="Z99" s="709"/>
      <c r="AA99" s="376"/>
      <c r="AB99" s="710"/>
      <c r="AC99" s="711"/>
      <c r="AD99" s="712">
        <v>0</v>
      </c>
      <c r="AE99" s="376"/>
      <c r="AF99" s="392">
        <v>0</v>
      </c>
      <c r="AG99" s="389">
        <v>0.2036</v>
      </c>
      <c r="AH99" s="404">
        <v>0</v>
      </c>
      <c r="AI99" s="376"/>
      <c r="AJ99" s="411">
        <v>1724.9492</v>
      </c>
      <c r="AK99" s="385"/>
      <c r="AL99" s="701">
        <v>3353.4860022960002</v>
      </c>
      <c r="AM99" s="702">
        <v>-1628.5368022960001</v>
      </c>
      <c r="AN99" s="713"/>
      <c r="AO99" s="714"/>
      <c r="AP99" s="324">
        <v>4.7915255555555554</v>
      </c>
      <c r="AQ99" s="324">
        <v>3.6058989272000002</v>
      </c>
      <c r="AR99" s="705">
        <v>1.1856266283555552</v>
      </c>
      <c r="AU99" s="668"/>
      <c r="AW99" s="676"/>
      <c r="AX99" s="668"/>
    </row>
    <row r="100" spans="1:57" ht="15" x14ac:dyDescent="0.25">
      <c r="A100" s="723" t="s">
        <v>1115</v>
      </c>
      <c r="B100" s="720"/>
      <c r="C100" s="720">
        <v>206031</v>
      </c>
      <c r="D100" s="376"/>
      <c r="E100" s="707"/>
      <c r="F100" s="377"/>
      <c r="G100" s="695">
        <v>360</v>
      </c>
      <c r="H100" s="387"/>
      <c r="I100" s="708">
        <v>360</v>
      </c>
      <c r="J100" s="387" t="s">
        <v>579</v>
      </c>
      <c r="K100" s="389">
        <v>3.6058989272000002</v>
      </c>
      <c r="L100" s="404">
        <v>1298</v>
      </c>
      <c r="M100" s="380"/>
      <c r="N100" s="391">
        <v>0</v>
      </c>
      <c r="O100" s="389">
        <v>0.2036</v>
      </c>
      <c r="P100" s="404">
        <v>0</v>
      </c>
      <c r="Q100" s="380"/>
      <c r="R100" s="392">
        <v>4.7368421052631575</v>
      </c>
      <c r="S100" s="389">
        <v>1.7611399999999999</v>
      </c>
      <c r="T100" s="405">
        <v>317.00519999999995</v>
      </c>
      <c r="U100" s="376"/>
      <c r="V100" s="709"/>
      <c r="W100" s="395"/>
      <c r="X100" s="709"/>
      <c r="Y100" s="395"/>
      <c r="Z100" s="709"/>
      <c r="AA100" s="376"/>
      <c r="AB100" s="710"/>
      <c r="AC100" s="711"/>
      <c r="AD100" s="712"/>
      <c r="AE100" s="376"/>
      <c r="AF100" s="392">
        <v>0</v>
      </c>
      <c r="AG100" s="389">
        <v>0.2036</v>
      </c>
      <c r="AH100" s="404">
        <v>0</v>
      </c>
      <c r="AI100" s="376"/>
      <c r="AJ100" s="411">
        <v>1615.0052000000001</v>
      </c>
      <c r="AK100" s="385"/>
      <c r="AL100" s="701">
        <v>0</v>
      </c>
      <c r="AM100" s="702">
        <v>1615.0052000000001</v>
      </c>
      <c r="AN100" s="713"/>
      <c r="AO100" s="714"/>
      <c r="AP100" s="324">
        <v>4.4861255555555557</v>
      </c>
      <c r="AQ100" s="324">
        <v>3.6058989272000002</v>
      </c>
      <c r="AR100" s="705">
        <v>0.88022662835555554</v>
      </c>
      <c r="AU100" s="668"/>
      <c r="AW100" s="676"/>
      <c r="AX100" s="668"/>
    </row>
    <row r="101" spans="1:57" ht="15" x14ac:dyDescent="0.25">
      <c r="A101" s="375" t="s">
        <v>1116</v>
      </c>
      <c r="B101" s="332"/>
      <c r="C101" s="332">
        <v>206067</v>
      </c>
      <c r="D101" s="376"/>
      <c r="E101" s="707"/>
      <c r="F101" s="377"/>
      <c r="G101" s="695">
        <v>180</v>
      </c>
      <c r="H101" s="387"/>
      <c r="I101" s="708">
        <v>180</v>
      </c>
      <c r="J101" s="387" t="s">
        <v>579</v>
      </c>
      <c r="K101" s="389">
        <v>3.6058989272000002</v>
      </c>
      <c r="L101" s="404">
        <v>649</v>
      </c>
      <c r="M101" s="380"/>
      <c r="N101" s="391">
        <v>0</v>
      </c>
      <c r="O101" s="389">
        <v>0.2036</v>
      </c>
      <c r="P101" s="404">
        <v>0</v>
      </c>
      <c r="Q101" s="380"/>
      <c r="R101" s="392">
        <v>0</v>
      </c>
      <c r="S101" s="389">
        <v>1.7611399999999999</v>
      </c>
      <c r="T101" s="405">
        <v>0</v>
      </c>
      <c r="U101" s="376"/>
      <c r="V101" s="709"/>
      <c r="W101" s="395"/>
      <c r="X101" s="709"/>
      <c r="Y101" s="395"/>
      <c r="Z101" s="709"/>
      <c r="AA101" s="376"/>
      <c r="AB101" s="710"/>
      <c r="AC101" s="711"/>
      <c r="AD101" s="712"/>
      <c r="AE101" s="376"/>
      <c r="AF101" s="392">
        <v>4.7368421052631575</v>
      </c>
      <c r="AG101" s="389">
        <v>0.2036</v>
      </c>
      <c r="AH101" s="404">
        <v>36.647999999999996</v>
      </c>
      <c r="AI101" s="376"/>
      <c r="AJ101" s="411">
        <v>685.64800000000002</v>
      </c>
      <c r="AK101" s="385"/>
      <c r="AL101" s="701">
        <v>0</v>
      </c>
      <c r="AM101" s="702">
        <v>685.64800000000002</v>
      </c>
      <c r="AN101" s="713"/>
      <c r="AO101" s="714"/>
      <c r="AP101" s="324">
        <v>3.8091555555555558</v>
      </c>
      <c r="AQ101" s="324">
        <v>3.6058989272000002</v>
      </c>
      <c r="AR101" s="705">
        <v>0.20325662835555569</v>
      </c>
      <c r="AU101" s="668"/>
      <c r="AW101" s="676"/>
      <c r="AX101" s="668"/>
    </row>
    <row r="102" spans="1:57" ht="15" x14ac:dyDescent="0.25">
      <c r="A102" s="525" t="s">
        <v>1117</v>
      </c>
      <c r="B102" s="332"/>
      <c r="C102" s="332">
        <v>205978</v>
      </c>
      <c r="D102" s="376"/>
      <c r="E102" s="707"/>
      <c r="F102" s="377"/>
      <c r="G102" s="695">
        <v>180</v>
      </c>
      <c r="H102" s="387"/>
      <c r="I102" s="708">
        <v>180</v>
      </c>
      <c r="J102" s="387" t="s">
        <v>579</v>
      </c>
      <c r="K102" s="389">
        <v>3.6058989272000002</v>
      </c>
      <c r="L102" s="404">
        <v>649</v>
      </c>
      <c r="M102" s="380"/>
      <c r="N102" s="391">
        <v>14.210526315789473</v>
      </c>
      <c r="O102" s="389">
        <v>0.2036</v>
      </c>
      <c r="P102" s="404">
        <v>109.94399999999999</v>
      </c>
      <c r="Q102" s="380"/>
      <c r="R102" s="392">
        <v>0</v>
      </c>
      <c r="S102" s="389">
        <v>1.7611399999999999</v>
      </c>
      <c r="T102" s="405">
        <v>0</v>
      </c>
      <c r="U102" s="376"/>
      <c r="V102" s="709"/>
      <c r="W102" s="395"/>
      <c r="X102" s="709"/>
      <c r="Y102" s="395"/>
      <c r="Z102" s="709"/>
      <c r="AA102" s="376"/>
      <c r="AB102" s="710"/>
      <c r="AC102" s="711"/>
      <c r="AD102" s="712"/>
      <c r="AE102" s="376"/>
      <c r="AF102" s="392">
        <v>0</v>
      </c>
      <c r="AG102" s="389">
        <v>0.2036</v>
      </c>
      <c r="AH102" s="404">
        <v>0</v>
      </c>
      <c r="AI102" s="376"/>
      <c r="AJ102" s="411">
        <v>758.94399999999996</v>
      </c>
      <c r="AK102" s="385"/>
      <c r="AL102" s="701">
        <v>0</v>
      </c>
      <c r="AM102" s="702">
        <v>758.94399999999996</v>
      </c>
      <c r="AN102" s="713"/>
      <c r="AO102" s="714"/>
      <c r="AP102" s="324">
        <v>4.2163555555555554</v>
      </c>
      <c r="AQ102" s="324">
        <v>3.6058989272000002</v>
      </c>
      <c r="AR102" s="705">
        <v>0.61045662835555525</v>
      </c>
      <c r="AU102" s="668"/>
      <c r="AW102" s="676"/>
      <c r="AX102" s="668"/>
    </row>
    <row r="103" spans="1:57" ht="15" x14ac:dyDescent="0.25">
      <c r="A103" s="526" t="s">
        <v>1118</v>
      </c>
      <c r="B103" s="717"/>
      <c r="C103" s="717">
        <v>206043</v>
      </c>
      <c r="D103" s="376"/>
      <c r="E103" s="707"/>
      <c r="F103" s="377"/>
      <c r="G103" s="695">
        <v>432</v>
      </c>
      <c r="H103" s="387"/>
      <c r="I103" s="708">
        <v>432</v>
      </c>
      <c r="J103" s="387" t="s">
        <v>579</v>
      </c>
      <c r="K103" s="389">
        <v>3.6058989272000002</v>
      </c>
      <c r="L103" s="404">
        <v>1558</v>
      </c>
      <c r="M103" s="380"/>
      <c r="N103" s="391">
        <v>9.473684210526315</v>
      </c>
      <c r="O103" s="389">
        <v>0.2036</v>
      </c>
      <c r="P103" s="404">
        <v>73.295999999999992</v>
      </c>
      <c r="Q103" s="380"/>
      <c r="R103" s="392">
        <v>0</v>
      </c>
      <c r="S103" s="389">
        <v>1.7611399999999999</v>
      </c>
      <c r="T103" s="405">
        <v>0</v>
      </c>
      <c r="U103" s="376"/>
      <c r="V103" s="709"/>
      <c r="W103" s="395"/>
      <c r="X103" s="709"/>
      <c r="Y103" s="395"/>
      <c r="Z103" s="709"/>
      <c r="AA103" s="376"/>
      <c r="AB103" s="710"/>
      <c r="AC103" s="711"/>
      <c r="AD103" s="712">
        <v>0</v>
      </c>
      <c r="AE103" s="376"/>
      <c r="AF103" s="392">
        <v>0</v>
      </c>
      <c r="AG103" s="389">
        <v>0.2036</v>
      </c>
      <c r="AH103" s="404">
        <v>0</v>
      </c>
      <c r="AI103" s="376"/>
      <c r="AJ103" s="411">
        <v>1631.296</v>
      </c>
      <c r="AK103" s="385"/>
      <c r="AL103" s="701">
        <v>0</v>
      </c>
      <c r="AM103" s="702">
        <v>1631.296</v>
      </c>
      <c r="AN103" s="713"/>
      <c r="AO103" s="714"/>
      <c r="AP103" s="324">
        <v>3.7761481481481485</v>
      </c>
      <c r="AQ103" s="324">
        <v>3.6058989272000002</v>
      </c>
      <c r="AR103" s="705">
        <v>0.17024922094814832</v>
      </c>
      <c r="AU103" s="668"/>
      <c r="AW103" s="676"/>
      <c r="AX103" s="668"/>
    </row>
    <row r="104" spans="1:57" ht="15" x14ac:dyDescent="0.25">
      <c r="A104" s="375" t="s">
        <v>1119</v>
      </c>
      <c r="B104" s="332"/>
      <c r="C104" s="332" t="s">
        <v>617</v>
      </c>
      <c r="D104" s="376"/>
      <c r="E104" s="707"/>
      <c r="F104" s="377"/>
      <c r="G104" s="695">
        <v>0</v>
      </c>
      <c r="H104" s="387"/>
      <c r="I104" s="708">
        <v>0</v>
      </c>
      <c r="J104" s="387" t="s">
        <v>579</v>
      </c>
      <c r="K104" s="389">
        <v>3.6058989272000002</v>
      </c>
      <c r="L104" s="404">
        <v>0</v>
      </c>
      <c r="M104" s="380"/>
      <c r="N104" s="391">
        <v>0</v>
      </c>
      <c r="O104" s="389">
        <v>0.2036</v>
      </c>
      <c r="P104" s="404">
        <v>0</v>
      </c>
      <c r="Q104" s="380"/>
      <c r="R104" s="392">
        <v>0</v>
      </c>
      <c r="S104" s="389">
        <v>1.7611399999999999</v>
      </c>
      <c r="T104" s="405">
        <v>0</v>
      </c>
      <c r="U104" s="376"/>
      <c r="V104" s="709"/>
      <c r="W104" s="395"/>
      <c r="X104" s="709"/>
      <c r="Y104" s="395"/>
      <c r="Z104" s="709"/>
      <c r="AA104" s="376"/>
      <c r="AB104" s="710"/>
      <c r="AC104" s="711"/>
      <c r="AD104" s="712">
        <v>0</v>
      </c>
      <c r="AE104" s="376"/>
      <c r="AF104" s="392">
        <v>0</v>
      </c>
      <c r="AG104" s="389">
        <v>0.2036</v>
      </c>
      <c r="AH104" s="404">
        <v>0</v>
      </c>
      <c r="AI104" s="376"/>
      <c r="AJ104" s="411">
        <v>0</v>
      </c>
      <c r="AK104" s="385"/>
      <c r="AL104" s="701">
        <v>0</v>
      </c>
      <c r="AM104" s="702">
        <v>0</v>
      </c>
      <c r="AN104" s="713"/>
      <c r="AO104" s="714"/>
      <c r="AP104" s="324" t="e">
        <v>#DIV/0!</v>
      </c>
      <c r="AQ104" s="324">
        <v>3.6058989272000002</v>
      </c>
      <c r="AR104" s="705" t="e">
        <v>#DIV/0!</v>
      </c>
      <c r="AU104" s="668"/>
      <c r="AW104" s="676"/>
      <c r="AX104" s="668"/>
    </row>
    <row r="105" spans="1:57" ht="15" x14ac:dyDescent="0.25">
      <c r="A105" s="375" t="s">
        <v>1120</v>
      </c>
      <c r="B105" s="332"/>
      <c r="C105" s="332" t="s">
        <v>618</v>
      </c>
      <c r="D105" s="376"/>
      <c r="E105" s="707"/>
      <c r="F105" s="377"/>
      <c r="G105" s="695">
        <v>0</v>
      </c>
      <c r="H105" s="387"/>
      <c r="I105" s="708">
        <v>0</v>
      </c>
      <c r="J105" s="387" t="s">
        <v>579</v>
      </c>
      <c r="K105" s="389">
        <v>3.6058989272000002</v>
      </c>
      <c r="L105" s="404">
        <v>0</v>
      </c>
      <c r="M105" s="380"/>
      <c r="N105" s="391">
        <v>0</v>
      </c>
      <c r="O105" s="389">
        <v>0.2036</v>
      </c>
      <c r="P105" s="404">
        <v>0</v>
      </c>
      <c r="Q105" s="380"/>
      <c r="R105" s="392">
        <v>0</v>
      </c>
      <c r="S105" s="389">
        <v>1.7611399999999999</v>
      </c>
      <c r="T105" s="405">
        <v>0</v>
      </c>
      <c r="U105" s="376"/>
      <c r="V105" s="709"/>
      <c r="W105" s="395"/>
      <c r="X105" s="709"/>
      <c r="Y105" s="395"/>
      <c r="Z105" s="709"/>
      <c r="AA105" s="376"/>
      <c r="AB105" s="710"/>
      <c r="AC105" s="711"/>
      <c r="AD105" s="712">
        <v>0</v>
      </c>
      <c r="AE105" s="376"/>
      <c r="AF105" s="392">
        <v>0</v>
      </c>
      <c r="AG105" s="389">
        <v>0.2036</v>
      </c>
      <c r="AH105" s="404">
        <v>0</v>
      </c>
      <c r="AI105" s="376"/>
      <c r="AJ105" s="411">
        <v>0</v>
      </c>
      <c r="AK105" s="385"/>
      <c r="AL105" s="701">
        <v>0</v>
      </c>
      <c r="AM105" s="702">
        <v>0</v>
      </c>
      <c r="AN105" s="713"/>
      <c r="AO105" s="714"/>
      <c r="AP105" s="324" t="e">
        <v>#DIV/0!</v>
      </c>
      <c r="AQ105" s="324">
        <v>3.6058989272000002</v>
      </c>
      <c r="AR105" s="705" t="e">
        <v>#DIV/0!</v>
      </c>
      <c r="AU105" s="668"/>
      <c r="AW105" s="676"/>
      <c r="AX105" s="668"/>
    </row>
    <row r="106" spans="1:57" ht="15" x14ac:dyDescent="0.25">
      <c r="A106" s="375" t="s">
        <v>1121</v>
      </c>
      <c r="B106" s="332"/>
      <c r="C106" s="332" t="s">
        <v>619</v>
      </c>
      <c r="D106" s="376"/>
      <c r="E106" s="707"/>
      <c r="F106" s="377"/>
      <c r="G106" s="695">
        <v>1290</v>
      </c>
      <c r="H106" s="387"/>
      <c r="I106" s="708">
        <v>1290</v>
      </c>
      <c r="J106" s="387" t="s">
        <v>579</v>
      </c>
      <c r="K106" s="389">
        <v>3.6058989272000002</v>
      </c>
      <c r="L106" s="404">
        <v>4652</v>
      </c>
      <c r="M106" s="380"/>
      <c r="N106" s="391">
        <v>82.89473684210526</v>
      </c>
      <c r="O106" s="389">
        <v>0.2036</v>
      </c>
      <c r="P106" s="404">
        <v>641.33999999999992</v>
      </c>
      <c r="Q106" s="380"/>
      <c r="R106" s="392">
        <v>4.7368421052631575</v>
      </c>
      <c r="S106" s="389">
        <v>1.7611399999999999</v>
      </c>
      <c r="T106" s="405">
        <v>317.00519999999995</v>
      </c>
      <c r="U106" s="376"/>
      <c r="V106" s="709"/>
      <c r="W106" s="395"/>
      <c r="X106" s="709"/>
      <c r="Y106" s="395"/>
      <c r="Z106" s="709"/>
      <c r="AA106" s="376"/>
      <c r="AB106" s="710"/>
      <c r="AC106" s="711"/>
      <c r="AD106" s="712">
        <v>0</v>
      </c>
      <c r="AE106" s="376"/>
      <c r="AF106" s="392">
        <v>10.263157894736842</v>
      </c>
      <c r="AG106" s="389">
        <v>0.2036</v>
      </c>
      <c r="AH106" s="404">
        <v>79.403999999999996</v>
      </c>
      <c r="AI106" s="376"/>
      <c r="AJ106" s="411">
        <v>5689.7492000000002</v>
      </c>
      <c r="AK106" s="385"/>
      <c r="AL106" s="701">
        <v>4039.1743701119999</v>
      </c>
      <c r="AM106" s="702">
        <v>1650.5748298880003</v>
      </c>
      <c r="AN106" s="713"/>
      <c r="AO106" s="714"/>
      <c r="AP106" s="324">
        <v>4.4106582945736434</v>
      </c>
      <c r="AQ106" s="324">
        <v>3.6058989272000002</v>
      </c>
      <c r="AR106" s="705">
        <v>0.80475936737364329</v>
      </c>
      <c r="AU106" s="668"/>
      <c r="AW106" s="676"/>
      <c r="AX106" s="668"/>
    </row>
    <row r="107" spans="1:57" ht="15" x14ac:dyDescent="0.25">
      <c r="A107" s="375" t="s">
        <v>1122</v>
      </c>
      <c r="B107" s="332"/>
      <c r="C107" s="332" t="s">
        <v>607</v>
      </c>
      <c r="D107" s="376"/>
      <c r="E107" s="707"/>
      <c r="F107" s="377"/>
      <c r="G107" s="695">
        <v>180</v>
      </c>
      <c r="H107" s="387"/>
      <c r="I107" s="708">
        <v>180</v>
      </c>
      <c r="J107" s="387" t="s">
        <v>579</v>
      </c>
      <c r="K107" s="389">
        <v>3.6058989272000002</v>
      </c>
      <c r="L107" s="404">
        <v>649</v>
      </c>
      <c r="M107" s="380"/>
      <c r="N107" s="391">
        <v>14.210526315789473</v>
      </c>
      <c r="O107" s="389">
        <v>0.2036</v>
      </c>
      <c r="P107" s="404">
        <v>109.94399999999999</v>
      </c>
      <c r="Q107" s="380"/>
      <c r="R107" s="392">
        <v>0</v>
      </c>
      <c r="S107" s="389">
        <v>1.7611399999999999</v>
      </c>
      <c r="T107" s="405">
        <v>0</v>
      </c>
      <c r="U107" s="376"/>
      <c r="V107" s="709"/>
      <c r="W107" s="395"/>
      <c r="X107" s="709"/>
      <c r="Y107" s="395"/>
      <c r="Z107" s="709"/>
      <c r="AA107" s="376"/>
      <c r="AB107" s="710"/>
      <c r="AC107" s="711"/>
      <c r="AD107" s="712"/>
      <c r="AE107" s="376"/>
      <c r="AF107" s="392">
        <v>4.7368421052631575</v>
      </c>
      <c r="AG107" s="389">
        <v>0.2036</v>
      </c>
      <c r="AH107" s="404">
        <v>36.647999999999996</v>
      </c>
      <c r="AI107" s="376"/>
      <c r="AJ107" s="411">
        <v>795.59199999999998</v>
      </c>
      <c r="AK107" s="385"/>
      <c r="AL107" s="701">
        <v>0</v>
      </c>
      <c r="AM107" s="702">
        <v>795.59199999999998</v>
      </c>
      <c r="AN107" s="713"/>
      <c r="AO107" s="714"/>
      <c r="AP107" s="324">
        <v>4.4199555555555552</v>
      </c>
      <c r="AQ107" s="324">
        <v>3.6058989272000002</v>
      </c>
      <c r="AR107" s="705">
        <v>0.81405662835555503</v>
      </c>
      <c r="AU107" s="668"/>
      <c r="AW107" s="676"/>
      <c r="AX107" s="668"/>
    </row>
    <row r="108" spans="1:57" ht="15" x14ac:dyDescent="0.25">
      <c r="A108" s="718" t="s">
        <v>1123</v>
      </c>
      <c r="B108" s="331"/>
      <c r="C108" s="724" t="s">
        <v>620</v>
      </c>
      <c r="D108" s="376"/>
      <c r="E108" s="707"/>
      <c r="F108" s="377"/>
      <c r="G108" s="695">
        <v>0</v>
      </c>
      <c r="H108" s="387"/>
      <c r="I108" s="708">
        <v>0</v>
      </c>
      <c r="J108" s="387" t="s">
        <v>579</v>
      </c>
      <c r="K108" s="389">
        <v>3.6058989272000002</v>
      </c>
      <c r="L108" s="404">
        <v>0</v>
      </c>
      <c r="M108" s="380"/>
      <c r="N108" s="391">
        <v>0</v>
      </c>
      <c r="O108" s="389">
        <v>0.2036</v>
      </c>
      <c r="P108" s="404">
        <v>0</v>
      </c>
      <c r="Q108" s="380"/>
      <c r="R108" s="392">
        <v>0</v>
      </c>
      <c r="S108" s="389">
        <v>1.7611399999999999</v>
      </c>
      <c r="T108" s="405">
        <v>0</v>
      </c>
      <c r="U108" s="376"/>
      <c r="V108" s="709"/>
      <c r="W108" s="395"/>
      <c r="X108" s="709"/>
      <c r="Y108" s="395"/>
      <c r="Z108" s="709"/>
      <c r="AA108" s="376"/>
      <c r="AB108" s="710"/>
      <c r="AC108" s="711"/>
      <c r="AD108" s="712">
        <v>0</v>
      </c>
      <c r="AE108" s="376"/>
      <c r="AF108" s="392">
        <v>0</v>
      </c>
      <c r="AG108" s="389">
        <v>0.2036</v>
      </c>
      <c r="AH108" s="404">
        <v>0</v>
      </c>
      <c r="AI108" s="376"/>
      <c r="AJ108" s="411">
        <v>0</v>
      </c>
      <c r="AK108" s="385"/>
      <c r="AL108" s="701">
        <v>0</v>
      </c>
      <c r="AM108" s="702">
        <v>0</v>
      </c>
      <c r="AN108" s="713"/>
      <c r="AO108" s="714"/>
      <c r="AP108" s="324" t="e">
        <v>#DIV/0!</v>
      </c>
      <c r="AQ108" s="324">
        <v>3.6058989272000002</v>
      </c>
      <c r="AR108" s="705" t="e">
        <v>#DIV/0!</v>
      </c>
      <c r="AU108" s="668"/>
      <c r="AW108" s="676"/>
      <c r="AX108" s="668"/>
    </row>
    <row r="109" spans="1:57" ht="15" x14ac:dyDescent="0.25">
      <c r="A109" s="375" t="s">
        <v>1124</v>
      </c>
      <c r="B109" s="332"/>
      <c r="C109" s="332" t="s">
        <v>600</v>
      </c>
      <c r="D109" s="376"/>
      <c r="E109" s="707"/>
      <c r="F109" s="377"/>
      <c r="G109" s="695">
        <v>72</v>
      </c>
      <c r="H109" s="387"/>
      <c r="I109" s="708">
        <v>72</v>
      </c>
      <c r="J109" s="387" t="s">
        <v>579</v>
      </c>
      <c r="K109" s="389">
        <v>3.6058989272000002</v>
      </c>
      <c r="L109" s="404">
        <v>260</v>
      </c>
      <c r="M109" s="380"/>
      <c r="N109" s="391">
        <v>0</v>
      </c>
      <c r="O109" s="389">
        <v>0.2036</v>
      </c>
      <c r="P109" s="404">
        <v>0</v>
      </c>
      <c r="Q109" s="380"/>
      <c r="R109" s="392">
        <v>0</v>
      </c>
      <c r="S109" s="389">
        <v>1.7611399999999999</v>
      </c>
      <c r="T109" s="405">
        <v>0</v>
      </c>
      <c r="U109" s="376"/>
      <c r="V109" s="709"/>
      <c r="W109" s="395"/>
      <c r="X109" s="709"/>
      <c r="Y109" s="395"/>
      <c r="Z109" s="709"/>
      <c r="AA109" s="376"/>
      <c r="AB109" s="710"/>
      <c r="AC109" s="711"/>
      <c r="AD109" s="712"/>
      <c r="AE109" s="376"/>
      <c r="AF109" s="392">
        <v>0</v>
      </c>
      <c r="AG109" s="389">
        <v>0.2036</v>
      </c>
      <c r="AH109" s="404">
        <v>0</v>
      </c>
      <c r="AI109" s="376"/>
      <c r="AJ109" s="411">
        <v>260</v>
      </c>
      <c r="AK109" s="385"/>
      <c r="AL109" s="701">
        <v>0</v>
      </c>
      <c r="AM109" s="702">
        <v>260</v>
      </c>
      <c r="AN109" s="713"/>
      <c r="AO109" s="714"/>
      <c r="AP109" s="324">
        <v>3.6111111111111112</v>
      </c>
      <c r="AQ109" s="324">
        <v>3.6058989272000002</v>
      </c>
      <c r="AR109" s="705">
        <v>5.2121839111110013E-3</v>
      </c>
      <c r="AU109" s="668"/>
      <c r="AW109" s="676"/>
      <c r="AX109" s="668"/>
    </row>
    <row r="110" spans="1:57" ht="15" x14ac:dyDescent="0.25">
      <c r="A110" s="718" t="s">
        <v>621</v>
      </c>
      <c r="B110" s="331"/>
      <c r="C110" s="724" t="s">
        <v>622</v>
      </c>
      <c r="D110" s="376"/>
      <c r="E110" s="707"/>
      <c r="F110" s="377"/>
      <c r="G110" s="695">
        <v>24285</v>
      </c>
      <c r="H110" s="387"/>
      <c r="I110" s="708">
        <v>24285</v>
      </c>
      <c r="J110" s="387" t="s">
        <v>579</v>
      </c>
      <c r="K110" s="389">
        <v>3.6058989272000002</v>
      </c>
      <c r="L110" s="404">
        <v>87569</v>
      </c>
      <c r="M110" s="380"/>
      <c r="N110" s="391">
        <v>108.94736842105263</v>
      </c>
      <c r="O110" s="389">
        <v>0.2036</v>
      </c>
      <c r="P110" s="404">
        <v>842.904</v>
      </c>
      <c r="Q110" s="380"/>
      <c r="R110" s="392">
        <v>0</v>
      </c>
      <c r="S110" s="389">
        <v>1.7611399999999999</v>
      </c>
      <c r="T110" s="405">
        <v>0</v>
      </c>
      <c r="U110" s="376"/>
      <c r="V110" s="709"/>
      <c r="W110" s="395"/>
      <c r="X110" s="709"/>
      <c r="Y110" s="395"/>
      <c r="Z110" s="709"/>
      <c r="AA110" s="376"/>
      <c r="AB110" s="710"/>
      <c r="AC110" s="711"/>
      <c r="AD110" s="712">
        <v>0</v>
      </c>
      <c r="AE110" s="376"/>
      <c r="AF110" s="392">
        <v>37.10526315789474</v>
      </c>
      <c r="AG110" s="389">
        <v>0.2036</v>
      </c>
      <c r="AH110" s="404">
        <v>287.07600000000002</v>
      </c>
      <c r="AI110" s="376"/>
      <c r="AJ110" s="411">
        <v>88698.98</v>
      </c>
      <c r="AK110" s="385"/>
      <c r="AL110" s="701">
        <v>78445.818763151998</v>
      </c>
      <c r="AM110" s="702">
        <v>10253.161236847998</v>
      </c>
      <c r="AN110" s="713"/>
      <c r="AO110" s="714"/>
      <c r="AP110" s="324">
        <v>3.6524183652460365</v>
      </c>
      <c r="AQ110" s="324">
        <v>3.6058989272000002</v>
      </c>
      <c r="AR110" s="705">
        <v>4.651943804603631E-2</v>
      </c>
      <c r="AU110" s="668"/>
      <c r="AW110" s="676"/>
      <c r="AX110" s="668"/>
    </row>
    <row r="111" spans="1:57" ht="15" x14ac:dyDescent="0.25">
      <c r="A111" s="375" t="s">
        <v>623</v>
      </c>
      <c r="B111" s="332" t="s">
        <v>624</v>
      </c>
      <c r="C111" s="332" t="s">
        <v>625</v>
      </c>
      <c r="D111" s="376"/>
      <c r="E111" s="707"/>
      <c r="F111" s="377"/>
      <c r="G111" s="695">
        <v>7218</v>
      </c>
      <c r="H111" s="387"/>
      <c r="I111" s="708">
        <v>7218</v>
      </c>
      <c r="J111" s="387" t="s">
        <v>579</v>
      </c>
      <c r="K111" s="389">
        <v>3.6058989272000002</v>
      </c>
      <c r="L111" s="404">
        <v>26027</v>
      </c>
      <c r="M111" s="380"/>
      <c r="N111" s="391">
        <v>52.89473684210526</v>
      </c>
      <c r="O111" s="389">
        <v>0.2036</v>
      </c>
      <c r="P111" s="404">
        <v>409.23599999999999</v>
      </c>
      <c r="Q111" s="380"/>
      <c r="R111" s="392">
        <v>0</v>
      </c>
      <c r="S111" s="389">
        <v>1.7611399999999999</v>
      </c>
      <c r="T111" s="405">
        <v>0</v>
      </c>
      <c r="U111" s="376"/>
      <c r="V111" s="709"/>
      <c r="W111" s="395"/>
      <c r="X111" s="709"/>
      <c r="Y111" s="395"/>
      <c r="Z111" s="709"/>
      <c r="AA111" s="376"/>
      <c r="AB111" s="710"/>
      <c r="AC111" s="711"/>
      <c r="AD111" s="712">
        <v>0</v>
      </c>
      <c r="AE111" s="376"/>
      <c r="AF111" s="392">
        <v>45</v>
      </c>
      <c r="AG111" s="389">
        <v>0.2036</v>
      </c>
      <c r="AH111" s="404">
        <v>348.15600000000001</v>
      </c>
      <c r="AI111" s="376"/>
      <c r="AJ111" s="411">
        <v>26784.392</v>
      </c>
      <c r="AK111" s="385"/>
      <c r="AL111" s="701">
        <v>31345.62418848</v>
      </c>
      <c r="AM111" s="702">
        <v>-4561.2321884800003</v>
      </c>
      <c r="AN111" s="713"/>
      <c r="AO111" s="714"/>
      <c r="AP111" s="324">
        <v>3.7107775006927128</v>
      </c>
      <c r="AQ111" s="324">
        <v>3.6058989272000002</v>
      </c>
      <c r="AR111" s="705">
        <v>0.10487857349271268</v>
      </c>
      <c r="AU111" s="668"/>
      <c r="AW111" s="676"/>
      <c r="AX111" s="668"/>
    </row>
    <row r="112" spans="1:57" ht="15" x14ac:dyDescent="0.25">
      <c r="A112" s="375" t="s">
        <v>1125</v>
      </c>
      <c r="B112" s="332"/>
      <c r="C112" s="332" t="s">
        <v>1126</v>
      </c>
      <c r="D112" s="376"/>
      <c r="E112" s="707"/>
      <c r="F112" s="377"/>
      <c r="G112" s="695">
        <v>360</v>
      </c>
      <c r="H112" s="387"/>
      <c r="I112" s="708">
        <v>360</v>
      </c>
      <c r="J112" s="387" t="s">
        <v>563</v>
      </c>
      <c r="K112" s="389">
        <v>3.6058989272000002</v>
      </c>
      <c r="L112" s="404">
        <v>1298</v>
      </c>
      <c r="M112" s="380"/>
      <c r="N112" s="391">
        <v>9.473684210526315</v>
      </c>
      <c r="O112" s="389">
        <v>0.2036</v>
      </c>
      <c r="P112" s="404">
        <v>73.295999999999992</v>
      </c>
      <c r="Q112" s="380"/>
      <c r="R112" s="392">
        <v>0</v>
      </c>
      <c r="S112" s="389">
        <v>1.7611399999999999</v>
      </c>
      <c r="T112" s="405">
        <v>0</v>
      </c>
      <c r="U112" s="376"/>
      <c r="V112" s="709"/>
      <c r="W112" s="395"/>
      <c r="X112" s="709"/>
      <c r="Y112" s="395"/>
      <c r="Z112" s="709"/>
      <c r="AA112" s="376"/>
      <c r="AB112" s="710"/>
      <c r="AC112" s="711"/>
      <c r="AD112" s="712"/>
      <c r="AE112" s="376"/>
      <c r="AF112" s="392">
        <v>0</v>
      </c>
      <c r="AG112" s="389">
        <v>0.2036</v>
      </c>
      <c r="AH112" s="404">
        <v>0</v>
      </c>
      <c r="AI112" s="376"/>
      <c r="AJ112" s="411">
        <v>1371.296</v>
      </c>
      <c r="AK112" s="385"/>
      <c r="AL112" s="701">
        <v>0</v>
      </c>
      <c r="AM112" s="702">
        <v>1371.296</v>
      </c>
      <c r="AN112" s="713"/>
      <c r="AO112" s="714"/>
      <c r="AP112" s="324">
        <v>3.8091555555555558</v>
      </c>
      <c r="AQ112" s="324">
        <v>3.6058989272000002</v>
      </c>
      <c r="AR112" s="705">
        <v>0.20325662835555569</v>
      </c>
      <c r="AU112" s="668"/>
      <c r="AW112" s="676"/>
      <c r="AX112" s="668"/>
    </row>
    <row r="113" spans="1:50" ht="15" x14ac:dyDescent="0.25">
      <c r="A113" s="375" t="s">
        <v>628</v>
      </c>
      <c r="B113" s="332"/>
      <c r="C113" s="332" t="s">
        <v>629</v>
      </c>
      <c r="D113" s="376"/>
      <c r="E113" s="707"/>
      <c r="F113" s="377"/>
      <c r="G113" s="695">
        <v>10716</v>
      </c>
      <c r="H113" s="387"/>
      <c r="I113" s="708">
        <v>10716</v>
      </c>
      <c r="J113" s="387" t="s">
        <v>579</v>
      </c>
      <c r="K113" s="389">
        <v>3.6058989272000002</v>
      </c>
      <c r="L113" s="404">
        <v>38641</v>
      </c>
      <c r="M113" s="380"/>
      <c r="N113" s="391">
        <v>401.21052631578948</v>
      </c>
      <c r="O113" s="389">
        <v>0.2036</v>
      </c>
      <c r="P113" s="404">
        <v>3104.0855999999999</v>
      </c>
      <c r="Q113" s="380"/>
      <c r="R113" s="392">
        <v>10.263157894736842</v>
      </c>
      <c r="S113" s="389">
        <v>1.7611399999999999</v>
      </c>
      <c r="T113" s="405">
        <v>686.8445999999999</v>
      </c>
      <c r="U113" s="376"/>
      <c r="V113" s="709"/>
      <c r="W113" s="395"/>
      <c r="X113" s="709"/>
      <c r="Y113" s="395"/>
      <c r="Z113" s="709"/>
      <c r="AA113" s="376"/>
      <c r="AB113" s="710"/>
      <c r="AC113" s="711"/>
      <c r="AD113" s="712">
        <v>0</v>
      </c>
      <c r="AE113" s="376"/>
      <c r="AF113" s="392">
        <v>45.789473684210527</v>
      </c>
      <c r="AG113" s="389">
        <v>0.2036</v>
      </c>
      <c r="AH113" s="404">
        <v>354.26400000000001</v>
      </c>
      <c r="AI113" s="376"/>
      <c r="AJ113" s="411">
        <v>42786.194199999998</v>
      </c>
      <c r="AK113" s="385"/>
      <c r="AL113" s="701">
        <v>29752.200213768003</v>
      </c>
      <c r="AM113" s="702">
        <v>13033.993986231995</v>
      </c>
      <c r="AN113" s="713"/>
      <c r="AO113" s="714"/>
      <c r="AP113" s="324">
        <v>3.9927392870474057</v>
      </c>
      <c r="AQ113" s="324">
        <v>3.6058989272000002</v>
      </c>
      <c r="AR113" s="705">
        <v>0.3868403598474055</v>
      </c>
      <c r="AU113" s="668"/>
      <c r="AW113" s="676"/>
      <c r="AX113" s="668"/>
    </row>
    <row r="114" spans="1:50" ht="15" x14ac:dyDescent="0.25">
      <c r="A114" s="528" t="s">
        <v>630</v>
      </c>
      <c r="B114" s="529" t="s">
        <v>631</v>
      </c>
      <c r="C114" s="529">
        <v>258417</v>
      </c>
      <c r="D114" s="376"/>
      <c r="E114" s="707"/>
      <c r="F114" s="377"/>
      <c r="G114" s="695">
        <v>7362</v>
      </c>
      <c r="H114" s="387"/>
      <c r="I114" s="708">
        <v>7362</v>
      </c>
      <c r="J114" s="387" t="s">
        <v>579</v>
      </c>
      <c r="K114" s="389">
        <v>3.6058989272000002</v>
      </c>
      <c r="L114" s="404">
        <v>26547</v>
      </c>
      <c r="M114" s="380"/>
      <c r="N114" s="391">
        <v>211.57894736842104</v>
      </c>
      <c r="O114" s="389">
        <v>0.2036</v>
      </c>
      <c r="P114" s="404">
        <v>1636.944</v>
      </c>
      <c r="Q114" s="380"/>
      <c r="R114" s="392">
        <v>0</v>
      </c>
      <c r="S114" s="389">
        <v>1.7611399999999999</v>
      </c>
      <c r="T114" s="405">
        <v>0</v>
      </c>
      <c r="U114" s="376"/>
      <c r="V114" s="709"/>
      <c r="W114" s="395"/>
      <c r="X114" s="709"/>
      <c r="Y114" s="395"/>
      <c r="Z114" s="709"/>
      <c r="AA114" s="376"/>
      <c r="AB114" s="710"/>
      <c r="AC114" s="711"/>
      <c r="AD114" s="712">
        <v>0</v>
      </c>
      <c r="AE114" s="376"/>
      <c r="AF114" s="392">
        <v>0</v>
      </c>
      <c r="AG114" s="389">
        <v>0.2036</v>
      </c>
      <c r="AH114" s="404">
        <v>0</v>
      </c>
      <c r="AI114" s="376"/>
      <c r="AJ114" s="411">
        <v>28183.944</v>
      </c>
      <c r="AK114" s="385"/>
      <c r="AL114" s="701">
        <v>25580.205512164801</v>
      </c>
      <c r="AM114" s="702">
        <v>2603.7384878351986</v>
      </c>
      <c r="AN114" s="713"/>
      <c r="AO114" s="714"/>
      <c r="AP114" s="324">
        <v>3.8282999185004076</v>
      </c>
      <c r="AQ114" s="324">
        <v>3.6058989272000002</v>
      </c>
      <c r="AR114" s="705">
        <v>0.22240099130040747</v>
      </c>
      <c r="AU114" s="668"/>
      <c r="AW114" s="676"/>
      <c r="AX114" s="668"/>
    </row>
    <row r="115" spans="1:50" ht="15" x14ac:dyDescent="0.25">
      <c r="A115" s="375" t="s">
        <v>632</v>
      </c>
      <c r="B115" s="332" t="s">
        <v>633</v>
      </c>
      <c r="C115" s="332" t="s">
        <v>634</v>
      </c>
      <c r="D115" s="376"/>
      <c r="E115" s="707"/>
      <c r="F115" s="377"/>
      <c r="G115" s="695">
        <v>12552</v>
      </c>
      <c r="H115" s="387"/>
      <c r="I115" s="708">
        <v>12552</v>
      </c>
      <c r="J115" s="387" t="s">
        <v>563</v>
      </c>
      <c r="K115" s="389">
        <v>3.6058989272000002</v>
      </c>
      <c r="L115" s="404">
        <v>45261</v>
      </c>
      <c r="M115" s="380"/>
      <c r="N115" s="391">
        <v>259.57894736842104</v>
      </c>
      <c r="O115" s="389">
        <v>0.2036</v>
      </c>
      <c r="P115" s="404">
        <v>2008.3104000000001</v>
      </c>
      <c r="Q115" s="380"/>
      <c r="R115" s="392">
        <v>0</v>
      </c>
      <c r="S115" s="389">
        <v>1.7611399999999999</v>
      </c>
      <c r="T115" s="405">
        <v>0</v>
      </c>
      <c r="U115" s="376"/>
      <c r="V115" s="709"/>
      <c r="W115" s="395"/>
      <c r="X115" s="709"/>
      <c r="Y115" s="395"/>
      <c r="Z115" s="709"/>
      <c r="AA115" s="376"/>
      <c r="AB115" s="710"/>
      <c r="AC115" s="711"/>
      <c r="AD115" s="712">
        <v>0</v>
      </c>
      <c r="AE115" s="376"/>
      <c r="AF115" s="392">
        <v>39.315789473684212</v>
      </c>
      <c r="AG115" s="389">
        <v>0.2036</v>
      </c>
      <c r="AH115" s="404">
        <v>304.17840000000001</v>
      </c>
      <c r="AI115" s="376"/>
      <c r="AJ115" s="411">
        <v>47573.488799999999</v>
      </c>
      <c r="AK115" s="385"/>
      <c r="AL115" s="701">
        <v>36636.702604108796</v>
      </c>
      <c r="AM115" s="702">
        <v>10936.786195891204</v>
      </c>
      <c r="AN115" s="713"/>
      <c r="AO115" s="714"/>
      <c r="AP115" s="324">
        <v>3.7901122370936902</v>
      </c>
      <c r="AQ115" s="324">
        <v>3.6058989272000002</v>
      </c>
      <c r="AR115" s="705">
        <v>0.18421330989369</v>
      </c>
      <c r="AU115" s="668"/>
      <c r="AW115" s="676"/>
      <c r="AX115" s="668"/>
    </row>
    <row r="116" spans="1:50" ht="15" x14ac:dyDescent="0.25">
      <c r="A116" s="375" t="s">
        <v>635</v>
      </c>
      <c r="B116" s="332" t="s">
        <v>636</v>
      </c>
      <c r="C116" s="332" t="s">
        <v>637</v>
      </c>
      <c r="D116" s="376"/>
      <c r="E116" s="707"/>
      <c r="F116" s="377"/>
      <c r="G116" s="695">
        <v>15714</v>
      </c>
      <c r="H116" s="387"/>
      <c r="I116" s="708">
        <v>15714</v>
      </c>
      <c r="J116" s="387" t="s">
        <v>579</v>
      </c>
      <c r="K116" s="389">
        <v>3.6058989272000002</v>
      </c>
      <c r="L116" s="404">
        <v>56663</v>
      </c>
      <c r="M116" s="380"/>
      <c r="N116" s="391">
        <v>439.10526315789474</v>
      </c>
      <c r="O116" s="389">
        <v>0.2036</v>
      </c>
      <c r="P116" s="404">
        <v>3397.2696000000001</v>
      </c>
      <c r="Q116" s="380"/>
      <c r="R116" s="392">
        <v>4.7368421052631575</v>
      </c>
      <c r="S116" s="389">
        <v>1.7611399999999999</v>
      </c>
      <c r="T116" s="405">
        <v>317.00519999999995</v>
      </c>
      <c r="U116" s="376"/>
      <c r="V116" s="709"/>
      <c r="W116" s="395"/>
      <c r="X116" s="709"/>
      <c r="Y116" s="395"/>
      <c r="Z116" s="709"/>
      <c r="AA116" s="376"/>
      <c r="AB116" s="710"/>
      <c r="AC116" s="711"/>
      <c r="AD116" s="712">
        <v>0</v>
      </c>
      <c r="AE116" s="376"/>
      <c r="AF116" s="392">
        <v>0</v>
      </c>
      <c r="AG116" s="389">
        <v>0.2036</v>
      </c>
      <c r="AH116" s="404">
        <v>0</v>
      </c>
      <c r="AI116" s="376"/>
      <c r="AJ116" s="411">
        <v>60377.274799999999</v>
      </c>
      <c r="AK116" s="385"/>
      <c r="AL116" s="701">
        <v>74894.9542804792</v>
      </c>
      <c r="AM116" s="702">
        <v>-14517.679480479201</v>
      </c>
      <c r="AN116" s="713"/>
      <c r="AO116" s="714"/>
      <c r="AP116" s="324">
        <v>3.8422600738195238</v>
      </c>
      <c r="AQ116" s="324">
        <v>3.6058989272000002</v>
      </c>
      <c r="AR116" s="705">
        <v>0.23636114661952368</v>
      </c>
      <c r="AU116" s="668"/>
      <c r="AW116" s="676"/>
      <c r="AX116" s="668"/>
    </row>
    <row r="117" spans="1:50" ht="15" x14ac:dyDescent="0.25">
      <c r="A117" s="375" t="s">
        <v>638</v>
      </c>
      <c r="B117" s="332" t="s">
        <v>639</v>
      </c>
      <c r="C117" s="332">
        <v>206106</v>
      </c>
      <c r="D117" s="376"/>
      <c r="E117" s="707"/>
      <c r="F117" s="377"/>
      <c r="G117" s="695">
        <v>7530</v>
      </c>
      <c r="H117" s="387"/>
      <c r="I117" s="708">
        <v>7530</v>
      </c>
      <c r="J117" s="387" t="s">
        <v>563</v>
      </c>
      <c r="K117" s="389">
        <v>3.6058989272000002</v>
      </c>
      <c r="L117" s="404">
        <v>27152</v>
      </c>
      <c r="M117" s="380"/>
      <c r="N117" s="391">
        <v>185.5263157894737</v>
      </c>
      <c r="O117" s="389">
        <v>0.2036</v>
      </c>
      <c r="P117" s="404">
        <v>1435.38</v>
      </c>
      <c r="Q117" s="380"/>
      <c r="R117" s="392">
        <v>0</v>
      </c>
      <c r="S117" s="389">
        <v>1.7611399999999999</v>
      </c>
      <c r="T117" s="405">
        <v>0</v>
      </c>
      <c r="U117" s="376"/>
      <c r="V117" s="709"/>
      <c r="W117" s="395"/>
      <c r="X117" s="709"/>
      <c r="Y117" s="395"/>
      <c r="Z117" s="709"/>
      <c r="AA117" s="376"/>
      <c r="AB117" s="710"/>
      <c r="AC117" s="711"/>
      <c r="AD117" s="712">
        <v>0</v>
      </c>
      <c r="AE117" s="376"/>
      <c r="AF117" s="392">
        <v>0</v>
      </c>
      <c r="AG117" s="389">
        <v>0.2036</v>
      </c>
      <c r="AH117" s="404">
        <v>0</v>
      </c>
      <c r="AI117" s="376"/>
      <c r="AJ117" s="411">
        <v>28587.38</v>
      </c>
      <c r="AK117" s="385"/>
      <c r="AL117" s="701">
        <v>41229.235206863996</v>
      </c>
      <c r="AM117" s="702">
        <v>-12641.855206863995</v>
      </c>
      <c r="AN117" s="713"/>
      <c r="AO117" s="714"/>
      <c r="AP117" s="324">
        <v>3.7964648074369189</v>
      </c>
      <c r="AQ117" s="324">
        <v>3.6058989272000002</v>
      </c>
      <c r="AR117" s="705">
        <v>0.19056588023691878</v>
      </c>
      <c r="AU117" s="668"/>
      <c r="AW117" s="676"/>
      <c r="AX117" s="668"/>
    </row>
    <row r="118" spans="1:50" ht="15" x14ac:dyDescent="0.25">
      <c r="A118" s="375" t="s">
        <v>640</v>
      </c>
      <c r="B118" s="332"/>
      <c r="C118" s="332" t="s">
        <v>641</v>
      </c>
      <c r="D118" s="376"/>
      <c r="E118" s="707"/>
      <c r="F118" s="377"/>
      <c r="G118" s="695">
        <v>21570</v>
      </c>
      <c r="H118" s="387"/>
      <c r="I118" s="708">
        <v>21570</v>
      </c>
      <c r="J118" s="387" t="s">
        <v>563</v>
      </c>
      <c r="K118" s="389">
        <v>3.6058989272000002</v>
      </c>
      <c r="L118" s="404">
        <v>77779</v>
      </c>
      <c r="M118" s="380"/>
      <c r="N118" s="391">
        <v>1551.7894736842104</v>
      </c>
      <c r="O118" s="389">
        <v>0.2036</v>
      </c>
      <c r="P118" s="404">
        <v>12005.8848</v>
      </c>
      <c r="Q118" s="380"/>
      <c r="R118" s="392">
        <v>29.05263157894737</v>
      </c>
      <c r="S118" s="389">
        <v>1.7611399999999999</v>
      </c>
      <c r="T118" s="405">
        <v>1944.2985600000002</v>
      </c>
      <c r="U118" s="376"/>
      <c r="V118" s="709"/>
      <c r="W118" s="395"/>
      <c r="X118" s="709"/>
      <c r="Y118" s="395"/>
      <c r="Z118" s="709"/>
      <c r="AA118" s="376"/>
      <c r="AB118" s="710"/>
      <c r="AC118" s="711"/>
      <c r="AD118" s="712">
        <v>0</v>
      </c>
      <c r="AE118" s="376"/>
      <c r="AF118" s="392">
        <v>29.210526315789473</v>
      </c>
      <c r="AG118" s="389">
        <v>0.2036</v>
      </c>
      <c r="AH118" s="404">
        <v>225.99600000000001</v>
      </c>
      <c r="AI118" s="376"/>
      <c r="AJ118" s="411">
        <v>91955.179359999995</v>
      </c>
      <c r="AK118" s="385"/>
      <c r="AL118" s="701">
        <v>111594.27514244641</v>
      </c>
      <c r="AM118" s="702">
        <v>-19639.095782446413</v>
      </c>
      <c r="AN118" s="713"/>
      <c r="AO118" s="714"/>
      <c r="AP118" s="324">
        <v>4.2631052090866941</v>
      </c>
      <c r="AQ118" s="324">
        <v>3.6058989272000002</v>
      </c>
      <c r="AR118" s="705">
        <v>0.65720628188669394</v>
      </c>
      <c r="AU118" s="668"/>
      <c r="AW118" s="676"/>
      <c r="AX118" s="668"/>
    </row>
    <row r="119" spans="1:50" ht="15" x14ac:dyDescent="0.25">
      <c r="A119" s="375" t="s">
        <v>642</v>
      </c>
      <c r="B119" s="332" t="s">
        <v>586</v>
      </c>
      <c r="C119" s="332" t="s">
        <v>643</v>
      </c>
      <c r="D119" s="376"/>
      <c r="E119" s="707"/>
      <c r="F119" s="377"/>
      <c r="G119" s="695">
        <v>6414</v>
      </c>
      <c r="H119" s="387"/>
      <c r="I119" s="708">
        <v>6414</v>
      </c>
      <c r="J119" s="387" t="s">
        <v>579</v>
      </c>
      <c r="K119" s="389">
        <v>3.6058989272000002</v>
      </c>
      <c r="L119" s="404">
        <v>23128</v>
      </c>
      <c r="M119" s="380"/>
      <c r="N119" s="391">
        <v>0</v>
      </c>
      <c r="O119" s="389">
        <v>0.2036</v>
      </c>
      <c r="P119" s="404">
        <v>0</v>
      </c>
      <c r="Q119" s="380"/>
      <c r="R119" s="392">
        <v>0</v>
      </c>
      <c r="S119" s="389">
        <v>1.7611399999999999</v>
      </c>
      <c r="T119" s="405">
        <v>0</v>
      </c>
      <c r="U119" s="376"/>
      <c r="V119" s="709"/>
      <c r="W119" s="395"/>
      <c r="X119" s="709"/>
      <c r="Y119" s="395"/>
      <c r="Z119" s="709"/>
      <c r="AA119" s="376"/>
      <c r="AB119" s="710"/>
      <c r="AC119" s="711"/>
      <c r="AD119" s="712">
        <v>0</v>
      </c>
      <c r="AE119" s="376"/>
      <c r="AF119" s="392">
        <v>20.526315789473685</v>
      </c>
      <c r="AG119" s="389">
        <v>0.2036</v>
      </c>
      <c r="AH119" s="404">
        <v>158.80799999999999</v>
      </c>
      <c r="AI119" s="376"/>
      <c r="AJ119" s="411">
        <v>23286.808000000001</v>
      </c>
      <c r="AK119" s="385"/>
      <c r="AL119" s="701">
        <v>22077.093898372801</v>
      </c>
      <c r="AM119" s="702">
        <v>1209.7141016271999</v>
      </c>
      <c r="AN119" s="713"/>
      <c r="AO119" s="714"/>
      <c r="AP119" s="324">
        <v>3.6306217648893049</v>
      </c>
      <c r="AQ119" s="324">
        <v>3.6058989272000002</v>
      </c>
      <c r="AR119" s="705">
        <v>2.4722837689304722E-2</v>
      </c>
      <c r="AU119" s="668"/>
      <c r="AW119" s="676"/>
      <c r="AX119" s="668"/>
    </row>
    <row r="120" spans="1:50" ht="15" x14ac:dyDescent="0.25">
      <c r="A120" s="375" t="s">
        <v>644</v>
      </c>
      <c r="B120" s="332"/>
      <c r="C120" s="332" t="s">
        <v>645</v>
      </c>
      <c r="D120" s="376"/>
      <c r="E120" s="707"/>
      <c r="F120" s="377"/>
      <c r="G120" s="695">
        <v>31595</v>
      </c>
      <c r="H120" s="387"/>
      <c r="I120" s="708">
        <v>31595</v>
      </c>
      <c r="J120" s="387" t="s">
        <v>563</v>
      </c>
      <c r="K120" s="389">
        <v>3.6058989272000002</v>
      </c>
      <c r="L120" s="404">
        <v>113928</v>
      </c>
      <c r="M120" s="380"/>
      <c r="N120" s="391">
        <v>1449.7894736842106</v>
      </c>
      <c r="O120" s="389">
        <v>0.2036</v>
      </c>
      <c r="P120" s="404">
        <v>11216.731200000002</v>
      </c>
      <c r="Q120" s="380"/>
      <c r="R120" s="392">
        <v>43.421052631578945</v>
      </c>
      <c r="S120" s="389">
        <v>1.7611399999999999</v>
      </c>
      <c r="T120" s="405">
        <v>2905.8809999999999</v>
      </c>
      <c r="U120" s="376"/>
      <c r="V120" s="709"/>
      <c r="W120" s="395"/>
      <c r="X120" s="709"/>
      <c r="Y120" s="395"/>
      <c r="Z120" s="709"/>
      <c r="AA120" s="376"/>
      <c r="AB120" s="710"/>
      <c r="AC120" s="711"/>
      <c r="AD120" s="712">
        <v>0</v>
      </c>
      <c r="AE120" s="376"/>
      <c r="AF120" s="392">
        <v>154.47368421052633</v>
      </c>
      <c r="AG120" s="389">
        <v>0.2036</v>
      </c>
      <c r="AH120" s="404">
        <v>1195.1320000000001</v>
      </c>
      <c r="AI120" s="376"/>
      <c r="AJ120" s="411">
        <v>129245.7442</v>
      </c>
      <c r="AK120" s="385"/>
      <c r="AL120" s="701">
        <v>124984.16031622561</v>
      </c>
      <c r="AM120" s="702">
        <v>4261.5838837743941</v>
      </c>
      <c r="AN120" s="713"/>
      <c r="AO120" s="714"/>
      <c r="AP120" s="324">
        <v>4.0907024592498811</v>
      </c>
      <c r="AQ120" s="324">
        <v>3.6058989272000002</v>
      </c>
      <c r="AR120" s="705">
        <v>0.48480353204988091</v>
      </c>
      <c r="AU120" s="668"/>
      <c r="AW120" s="676"/>
      <c r="AX120" s="668"/>
    </row>
    <row r="121" spans="1:50" ht="15" x14ac:dyDescent="0.25">
      <c r="A121" s="723" t="s">
        <v>646</v>
      </c>
      <c r="B121" s="717" t="s">
        <v>647</v>
      </c>
      <c r="C121" s="717">
        <v>206133</v>
      </c>
      <c r="D121" s="376"/>
      <c r="E121" s="707"/>
      <c r="F121" s="377"/>
      <c r="G121" s="695">
        <v>7176</v>
      </c>
      <c r="H121" s="387"/>
      <c r="I121" s="708">
        <v>7176</v>
      </c>
      <c r="J121" s="387" t="s">
        <v>579</v>
      </c>
      <c r="K121" s="389">
        <v>3.6058989272000002</v>
      </c>
      <c r="L121" s="404">
        <v>25876</v>
      </c>
      <c r="M121" s="380"/>
      <c r="N121" s="391">
        <v>210.15789473684211</v>
      </c>
      <c r="O121" s="389">
        <v>0.2036</v>
      </c>
      <c r="P121" s="404">
        <v>1625.9496000000001</v>
      </c>
      <c r="Q121" s="380"/>
      <c r="R121" s="392">
        <v>0</v>
      </c>
      <c r="S121" s="389">
        <v>1.7611399999999999</v>
      </c>
      <c r="T121" s="405">
        <v>0</v>
      </c>
      <c r="U121" s="376"/>
      <c r="V121" s="709"/>
      <c r="W121" s="395"/>
      <c r="X121" s="709"/>
      <c r="Y121" s="395"/>
      <c r="Z121" s="709"/>
      <c r="AA121" s="376"/>
      <c r="AB121" s="710"/>
      <c r="AC121" s="711"/>
      <c r="AD121" s="712">
        <v>0</v>
      </c>
      <c r="AE121" s="376"/>
      <c r="AF121" s="392">
        <v>23.684210526315791</v>
      </c>
      <c r="AG121" s="389">
        <v>0.2036</v>
      </c>
      <c r="AH121" s="404">
        <v>183.24</v>
      </c>
      <c r="AI121" s="376"/>
      <c r="AJ121" s="411">
        <v>27685.189600000002</v>
      </c>
      <c r="AK121" s="385"/>
      <c r="AL121" s="701">
        <v>41530.634361806398</v>
      </c>
      <c r="AM121" s="702">
        <v>-13845.444761806397</v>
      </c>
      <c r="AN121" s="713"/>
      <c r="AO121" s="714"/>
      <c r="AP121" s="324">
        <v>3.8580253065774808</v>
      </c>
      <c r="AQ121" s="324">
        <v>3.6058989272000002</v>
      </c>
      <c r="AR121" s="705">
        <v>0.25212637937748061</v>
      </c>
      <c r="AU121" s="668"/>
      <c r="AW121" s="676"/>
      <c r="AX121" s="668"/>
    </row>
    <row r="122" spans="1:50" ht="15" x14ac:dyDescent="0.25">
      <c r="A122" s="530" t="s">
        <v>648</v>
      </c>
      <c r="B122" s="530" t="s">
        <v>649</v>
      </c>
      <c r="C122" s="531" t="s">
        <v>650</v>
      </c>
      <c r="D122" s="376"/>
      <c r="E122" s="707"/>
      <c r="F122" s="377"/>
      <c r="G122" s="695">
        <v>0</v>
      </c>
      <c r="H122" s="387"/>
      <c r="I122" s="708">
        <v>0</v>
      </c>
      <c r="J122" s="387" t="s">
        <v>563</v>
      </c>
      <c r="K122" s="389">
        <v>3.6058989272000002</v>
      </c>
      <c r="L122" s="404">
        <v>0</v>
      </c>
      <c r="M122" s="380"/>
      <c r="N122" s="391">
        <v>0</v>
      </c>
      <c r="O122" s="389">
        <v>0.2036</v>
      </c>
      <c r="P122" s="404">
        <v>0</v>
      </c>
      <c r="Q122" s="380"/>
      <c r="R122" s="392">
        <v>0</v>
      </c>
      <c r="S122" s="389">
        <v>1.7611399999999999</v>
      </c>
      <c r="T122" s="405">
        <v>0</v>
      </c>
      <c r="U122" s="376"/>
      <c r="V122" s="709"/>
      <c r="W122" s="395"/>
      <c r="X122" s="709"/>
      <c r="Y122" s="395"/>
      <c r="Z122" s="709"/>
      <c r="AA122" s="376"/>
      <c r="AB122" s="710"/>
      <c r="AC122" s="711"/>
      <c r="AD122" s="712">
        <v>0</v>
      </c>
      <c r="AE122" s="376"/>
      <c r="AF122" s="392">
        <v>0</v>
      </c>
      <c r="AG122" s="389">
        <v>0.2036</v>
      </c>
      <c r="AH122" s="404">
        <v>0</v>
      </c>
      <c r="AI122" s="376"/>
      <c r="AJ122" s="411">
        <v>0</v>
      </c>
      <c r="AK122" s="385"/>
      <c r="AL122" s="701">
        <v>6427.9242620640007</v>
      </c>
      <c r="AM122" s="702">
        <v>-6427.9242620640007</v>
      </c>
      <c r="AN122" s="713"/>
      <c r="AO122" s="714"/>
      <c r="AP122" s="324" t="e">
        <v>#DIV/0!</v>
      </c>
      <c r="AQ122" s="324">
        <v>3.6058989272000002</v>
      </c>
      <c r="AR122" s="705" t="e">
        <v>#DIV/0!</v>
      </c>
      <c r="AU122" s="668"/>
      <c r="AW122" s="676"/>
      <c r="AX122" s="668"/>
    </row>
    <row r="123" spans="1:50" ht="15" x14ac:dyDescent="0.25">
      <c r="A123" s="375" t="s">
        <v>651</v>
      </c>
      <c r="B123" s="332" t="s">
        <v>652</v>
      </c>
      <c r="C123" s="332">
        <v>206134</v>
      </c>
      <c r="D123" s="376"/>
      <c r="E123" s="707"/>
      <c r="F123" s="377"/>
      <c r="G123" s="695">
        <v>21060</v>
      </c>
      <c r="H123" s="387"/>
      <c r="I123" s="708">
        <v>21060</v>
      </c>
      <c r="J123" s="387" t="s">
        <v>579</v>
      </c>
      <c r="K123" s="389">
        <v>3.6058989272000002</v>
      </c>
      <c r="L123" s="404">
        <v>75940</v>
      </c>
      <c r="M123" s="380"/>
      <c r="N123" s="391">
        <v>199.10526315789474</v>
      </c>
      <c r="O123" s="389">
        <v>0.2036</v>
      </c>
      <c r="P123" s="404">
        <v>1540.4376</v>
      </c>
      <c r="Q123" s="380"/>
      <c r="R123" s="392">
        <v>0</v>
      </c>
      <c r="S123" s="389">
        <v>1.7611399999999999</v>
      </c>
      <c r="T123" s="405">
        <v>0</v>
      </c>
      <c r="U123" s="376"/>
      <c r="V123" s="709"/>
      <c r="W123" s="395"/>
      <c r="X123" s="709"/>
      <c r="Y123" s="395"/>
      <c r="Z123" s="709"/>
      <c r="AA123" s="376"/>
      <c r="AB123" s="710"/>
      <c r="AC123" s="711"/>
      <c r="AD123" s="712">
        <v>0</v>
      </c>
      <c r="AE123" s="376"/>
      <c r="AF123" s="392">
        <v>99.473684210526315</v>
      </c>
      <c r="AG123" s="389">
        <v>0.2036</v>
      </c>
      <c r="AH123" s="404">
        <v>769.60800000000006</v>
      </c>
      <c r="AI123" s="376"/>
      <c r="AJ123" s="411">
        <v>78250.045599999998</v>
      </c>
      <c r="AK123" s="385"/>
      <c r="AL123" s="701">
        <v>76780.275533731212</v>
      </c>
      <c r="AM123" s="702">
        <v>1469.7700662687857</v>
      </c>
      <c r="AN123" s="713"/>
      <c r="AO123" s="714"/>
      <c r="AP123" s="324">
        <v>3.7155767141500475</v>
      </c>
      <c r="AQ123" s="324">
        <v>3.6058989272000002</v>
      </c>
      <c r="AR123" s="705">
        <v>0.10967778695004737</v>
      </c>
      <c r="AU123" s="668"/>
      <c r="AW123" s="676"/>
      <c r="AX123" s="668"/>
    </row>
    <row r="124" spans="1:50" ht="15" x14ac:dyDescent="0.25">
      <c r="A124" s="375" t="s">
        <v>653</v>
      </c>
      <c r="B124" s="332"/>
      <c r="C124" s="332" t="s">
        <v>654</v>
      </c>
      <c r="D124" s="376"/>
      <c r="E124" s="707"/>
      <c r="F124" s="377"/>
      <c r="G124" s="695">
        <v>930</v>
      </c>
      <c r="H124" s="387"/>
      <c r="I124" s="708">
        <v>930</v>
      </c>
      <c r="J124" s="387" t="s">
        <v>563</v>
      </c>
      <c r="K124" s="389">
        <v>3.6058989272000002</v>
      </c>
      <c r="L124" s="404">
        <v>3353</v>
      </c>
      <c r="M124" s="380"/>
      <c r="N124" s="391">
        <v>0</v>
      </c>
      <c r="O124" s="389">
        <v>0.2036</v>
      </c>
      <c r="P124" s="404">
        <v>0</v>
      </c>
      <c r="Q124" s="380"/>
      <c r="R124" s="392">
        <v>4.7368421052631575</v>
      </c>
      <c r="S124" s="389">
        <v>1.7611399999999999</v>
      </c>
      <c r="T124" s="405">
        <v>317.00519999999995</v>
      </c>
      <c r="U124" s="376"/>
      <c r="V124" s="709"/>
      <c r="W124" s="395"/>
      <c r="X124" s="709"/>
      <c r="Y124" s="395"/>
      <c r="Z124" s="709"/>
      <c r="AA124" s="376"/>
      <c r="AB124" s="710"/>
      <c r="AC124" s="711"/>
      <c r="AD124" s="712"/>
      <c r="AE124" s="376"/>
      <c r="AF124" s="392">
        <v>0</v>
      </c>
      <c r="AG124" s="389">
        <v>0.2036</v>
      </c>
      <c r="AH124" s="404">
        <v>0</v>
      </c>
      <c r="AI124" s="376"/>
      <c r="AJ124" s="411">
        <v>3670.0052000000001</v>
      </c>
      <c r="AK124" s="385"/>
      <c r="AL124" s="701">
        <v>0</v>
      </c>
      <c r="AM124" s="702">
        <v>3670.0052000000001</v>
      </c>
      <c r="AN124" s="713"/>
      <c r="AO124" s="714"/>
      <c r="AP124" s="324">
        <v>3.9462421505376346</v>
      </c>
      <c r="AQ124" s="324">
        <v>3.6058989272000002</v>
      </c>
      <c r="AR124" s="705">
        <v>0.34034322333763445</v>
      </c>
      <c r="AU124" s="668"/>
      <c r="AW124" s="676"/>
      <c r="AX124" s="668"/>
    </row>
    <row r="125" spans="1:50" ht="15" x14ac:dyDescent="0.25">
      <c r="A125" s="375" t="s">
        <v>655</v>
      </c>
      <c r="B125" s="332"/>
      <c r="C125" s="332" t="s">
        <v>656</v>
      </c>
      <c r="D125" s="376"/>
      <c r="E125" s="707"/>
      <c r="F125" s="377"/>
      <c r="G125" s="695">
        <v>21810</v>
      </c>
      <c r="H125" s="387"/>
      <c r="I125" s="708">
        <v>21810</v>
      </c>
      <c r="J125" s="387" t="s">
        <v>563</v>
      </c>
      <c r="K125" s="389">
        <v>3.6058989272000002</v>
      </c>
      <c r="L125" s="404">
        <v>78645</v>
      </c>
      <c r="M125" s="380"/>
      <c r="N125" s="391">
        <v>118.89473684210526</v>
      </c>
      <c r="O125" s="389">
        <v>0.2036</v>
      </c>
      <c r="P125" s="404">
        <v>919.86480000000006</v>
      </c>
      <c r="Q125" s="380"/>
      <c r="R125" s="392">
        <v>0</v>
      </c>
      <c r="S125" s="389">
        <v>1.7611399999999999</v>
      </c>
      <c r="T125" s="405">
        <v>0</v>
      </c>
      <c r="U125" s="376"/>
      <c r="V125" s="709"/>
      <c r="W125" s="395"/>
      <c r="X125" s="709"/>
      <c r="Y125" s="395"/>
      <c r="Z125" s="709"/>
      <c r="AA125" s="376"/>
      <c r="AB125" s="710"/>
      <c r="AC125" s="711"/>
      <c r="AD125" s="712">
        <v>0</v>
      </c>
      <c r="AE125" s="376"/>
      <c r="AF125" s="392">
        <v>4.7368421052631575</v>
      </c>
      <c r="AG125" s="389">
        <v>0.2036</v>
      </c>
      <c r="AH125" s="404">
        <v>36.647999999999996</v>
      </c>
      <c r="AI125" s="376"/>
      <c r="AJ125" s="411">
        <v>79601.512799999997</v>
      </c>
      <c r="AK125" s="385"/>
      <c r="AL125" s="701">
        <v>76454.51516277199</v>
      </c>
      <c r="AM125" s="702">
        <v>3146.9976372280071</v>
      </c>
      <c r="AN125" s="713"/>
      <c r="AO125" s="714"/>
      <c r="AP125" s="324">
        <v>3.6497713342503437</v>
      </c>
      <c r="AQ125" s="324">
        <v>3.6058989272000002</v>
      </c>
      <c r="AR125" s="705">
        <v>4.3872407050343565E-2</v>
      </c>
      <c r="AU125" s="668"/>
      <c r="AW125" s="676"/>
      <c r="AX125" s="668"/>
    </row>
    <row r="126" spans="1:50" ht="15" x14ac:dyDescent="0.25">
      <c r="A126" s="375" t="s">
        <v>657</v>
      </c>
      <c r="B126" s="332"/>
      <c r="C126" s="332" t="s">
        <v>658</v>
      </c>
      <c r="D126" s="376"/>
      <c r="E126" s="707"/>
      <c r="F126" s="377"/>
      <c r="G126" s="695">
        <v>9306</v>
      </c>
      <c r="H126" s="387"/>
      <c r="I126" s="708">
        <v>9306</v>
      </c>
      <c r="J126" s="387" t="s">
        <v>563</v>
      </c>
      <c r="K126" s="389">
        <v>3.6058989272000002</v>
      </c>
      <c r="L126" s="404">
        <v>33556</v>
      </c>
      <c r="M126" s="380"/>
      <c r="N126" s="391">
        <v>91.89473684210526</v>
      </c>
      <c r="O126" s="389">
        <v>0.2036</v>
      </c>
      <c r="P126" s="404">
        <v>710.97119999999995</v>
      </c>
      <c r="Q126" s="380"/>
      <c r="R126" s="392">
        <v>0</v>
      </c>
      <c r="S126" s="389">
        <v>1.7611399999999999</v>
      </c>
      <c r="T126" s="405">
        <v>0</v>
      </c>
      <c r="U126" s="376"/>
      <c r="V126" s="709"/>
      <c r="W126" s="395"/>
      <c r="X126" s="709"/>
      <c r="Y126" s="395"/>
      <c r="Z126" s="709"/>
      <c r="AA126" s="376"/>
      <c r="AB126" s="710"/>
      <c r="AC126" s="711"/>
      <c r="AD126" s="712">
        <v>0</v>
      </c>
      <c r="AE126" s="376"/>
      <c r="AF126" s="392">
        <v>8.526315789473685</v>
      </c>
      <c r="AG126" s="389">
        <v>0.2036</v>
      </c>
      <c r="AH126" s="404">
        <v>65.966400000000007</v>
      </c>
      <c r="AI126" s="376"/>
      <c r="AJ126" s="411">
        <v>34332.937599999997</v>
      </c>
      <c r="AK126" s="385"/>
      <c r="AL126" s="701">
        <v>44016.3471778944</v>
      </c>
      <c r="AM126" s="702">
        <v>-9683.4095778944029</v>
      </c>
      <c r="AN126" s="713"/>
      <c r="AO126" s="714"/>
      <c r="AP126" s="324">
        <v>3.6893335052654197</v>
      </c>
      <c r="AQ126" s="324">
        <v>3.6058989272000002</v>
      </c>
      <c r="AR126" s="705">
        <v>8.343457806541954E-2</v>
      </c>
      <c r="AU126" s="668"/>
      <c r="AW126" s="676"/>
      <c r="AX126" s="668"/>
    </row>
    <row r="127" spans="1:50" ht="15" x14ac:dyDescent="0.25">
      <c r="A127" s="375" t="s">
        <v>659</v>
      </c>
      <c r="B127" s="332" t="s">
        <v>660</v>
      </c>
      <c r="C127" s="332">
        <v>206109</v>
      </c>
      <c r="D127" s="376"/>
      <c r="E127" s="707"/>
      <c r="F127" s="377"/>
      <c r="G127" s="695">
        <v>26470</v>
      </c>
      <c r="H127" s="387"/>
      <c r="I127" s="708">
        <v>26470</v>
      </c>
      <c r="J127" s="387" t="s">
        <v>563</v>
      </c>
      <c r="K127" s="389">
        <v>3.6058989272000002</v>
      </c>
      <c r="L127" s="404">
        <v>95448</v>
      </c>
      <c r="M127" s="380"/>
      <c r="N127" s="391">
        <v>155.5263157894737</v>
      </c>
      <c r="O127" s="389">
        <v>0.2036</v>
      </c>
      <c r="P127" s="404">
        <v>1203.2760000000003</v>
      </c>
      <c r="Q127" s="380"/>
      <c r="R127" s="392">
        <v>4.7368421052631575</v>
      </c>
      <c r="S127" s="389">
        <v>1.7611399999999999</v>
      </c>
      <c r="T127" s="405">
        <v>317.00519999999995</v>
      </c>
      <c r="U127" s="376"/>
      <c r="V127" s="709"/>
      <c r="W127" s="395"/>
      <c r="X127" s="709"/>
      <c r="Y127" s="395"/>
      <c r="Z127" s="709"/>
      <c r="AA127" s="376"/>
      <c r="AB127" s="710"/>
      <c r="AC127" s="711"/>
      <c r="AD127" s="712">
        <v>0</v>
      </c>
      <c r="AE127" s="376"/>
      <c r="AF127" s="392">
        <v>17.05263157894737</v>
      </c>
      <c r="AG127" s="389">
        <v>0.2036</v>
      </c>
      <c r="AH127" s="404">
        <v>131.93280000000001</v>
      </c>
      <c r="AI127" s="376"/>
      <c r="AJ127" s="411">
        <v>97100.214000000007</v>
      </c>
      <c r="AK127" s="385"/>
      <c r="AL127" s="701">
        <v>77302.917351046402</v>
      </c>
      <c r="AM127" s="702">
        <v>19797.296648953605</v>
      </c>
      <c r="AN127" s="713"/>
      <c r="AO127" s="714"/>
      <c r="AP127" s="324">
        <v>3.668311824707216</v>
      </c>
      <c r="AQ127" s="324">
        <v>3.6058989272000002</v>
      </c>
      <c r="AR127" s="705">
        <v>6.2412897507215792E-2</v>
      </c>
      <c r="AU127" s="668"/>
      <c r="AW127" s="676"/>
      <c r="AX127" s="668"/>
    </row>
    <row r="128" spans="1:50" ht="15" x14ac:dyDescent="0.25">
      <c r="A128" s="375" t="s">
        <v>661</v>
      </c>
      <c r="B128" s="332" t="s">
        <v>662</v>
      </c>
      <c r="C128" s="332">
        <v>206110</v>
      </c>
      <c r="D128" s="376"/>
      <c r="E128" s="707"/>
      <c r="F128" s="377"/>
      <c r="G128" s="695">
        <v>20658</v>
      </c>
      <c r="H128" s="387"/>
      <c r="I128" s="708">
        <v>20658</v>
      </c>
      <c r="J128" s="387" t="s">
        <v>563</v>
      </c>
      <c r="K128" s="389">
        <v>3.6058989272000002</v>
      </c>
      <c r="L128" s="404">
        <v>74491</v>
      </c>
      <c r="M128" s="380"/>
      <c r="N128" s="391">
        <v>105.94736842105263</v>
      </c>
      <c r="O128" s="389">
        <v>0.2036</v>
      </c>
      <c r="P128" s="404">
        <v>819.69360000000006</v>
      </c>
      <c r="Q128" s="380"/>
      <c r="R128" s="392">
        <v>0</v>
      </c>
      <c r="S128" s="389">
        <v>1.7611399999999999</v>
      </c>
      <c r="T128" s="405">
        <v>0</v>
      </c>
      <c r="U128" s="376"/>
      <c r="V128" s="709"/>
      <c r="W128" s="395"/>
      <c r="X128" s="709"/>
      <c r="Y128" s="395"/>
      <c r="Z128" s="709"/>
      <c r="AA128" s="376"/>
      <c r="AB128" s="710"/>
      <c r="AC128" s="711"/>
      <c r="AD128" s="712">
        <v>0</v>
      </c>
      <c r="AE128" s="376"/>
      <c r="AF128" s="392">
        <v>21.789473684210527</v>
      </c>
      <c r="AG128" s="389">
        <v>0.2036</v>
      </c>
      <c r="AH128" s="404">
        <v>168.58080000000001</v>
      </c>
      <c r="AI128" s="376"/>
      <c r="AJ128" s="411">
        <v>75479.274399999995</v>
      </c>
      <c r="AK128" s="385"/>
      <c r="AL128" s="701">
        <v>76808.086677144689</v>
      </c>
      <c r="AM128" s="702">
        <v>-1328.8122771446942</v>
      </c>
      <c r="AN128" s="713"/>
      <c r="AO128" s="714"/>
      <c r="AP128" s="324">
        <v>3.6537551747507018</v>
      </c>
      <c r="AQ128" s="324">
        <v>3.6058989272000002</v>
      </c>
      <c r="AR128" s="705">
        <v>4.7856247550701614E-2</v>
      </c>
      <c r="AU128" s="668"/>
      <c r="AW128" s="676"/>
      <c r="AX128" s="668"/>
    </row>
    <row r="129" spans="1:50" ht="15" x14ac:dyDescent="0.25">
      <c r="A129" s="375" t="s">
        <v>663</v>
      </c>
      <c r="B129" s="332" t="s">
        <v>664</v>
      </c>
      <c r="C129" s="332">
        <v>206135</v>
      </c>
      <c r="D129" s="376"/>
      <c r="E129" s="707"/>
      <c r="F129" s="377"/>
      <c r="G129" s="695">
        <v>12990</v>
      </c>
      <c r="H129" s="387"/>
      <c r="I129" s="708">
        <v>12990</v>
      </c>
      <c r="J129" s="387" t="s">
        <v>579</v>
      </c>
      <c r="K129" s="389">
        <v>3.6058989272000002</v>
      </c>
      <c r="L129" s="404">
        <v>46841</v>
      </c>
      <c r="M129" s="380"/>
      <c r="N129" s="391">
        <v>147.63157894736844</v>
      </c>
      <c r="O129" s="389">
        <v>0.2036</v>
      </c>
      <c r="P129" s="404">
        <v>1142.1960000000001</v>
      </c>
      <c r="Q129" s="380"/>
      <c r="R129" s="392">
        <v>10.263157894736842</v>
      </c>
      <c r="S129" s="389">
        <v>1.7611399999999999</v>
      </c>
      <c r="T129" s="405">
        <v>686.8445999999999</v>
      </c>
      <c r="U129" s="376"/>
      <c r="V129" s="709"/>
      <c r="W129" s="395"/>
      <c r="X129" s="709"/>
      <c r="Y129" s="395"/>
      <c r="Z129" s="709"/>
      <c r="AA129" s="376"/>
      <c r="AB129" s="710"/>
      <c r="AC129" s="711"/>
      <c r="AD129" s="712">
        <v>0</v>
      </c>
      <c r="AE129" s="376"/>
      <c r="AF129" s="392">
        <v>4.7368421052631575</v>
      </c>
      <c r="AG129" s="389">
        <v>0.2036</v>
      </c>
      <c r="AH129" s="404">
        <v>36.647999999999996</v>
      </c>
      <c r="AI129" s="376"/>
      <c r="AJ129" s="411">
        <v>48706.688600000001</v>
      </c>
      <c r="AK129" s="385"/>
      <c r="AL129" s="701">
        <v>58160.245193515198</v>
      </c>
      <c r="AM129" s="702">
        <v>-9453.5565935151972</v>
      </c>
      <c r="AN129" s="713"/>
      <c r="AO129" s="714"/>
      <c r="AP129" s="324">
        <v>3.7495526250962281</v>
      </c>
      <c r="AQ129" s="324">
        <v>3.6058989272000002</v>
      </c>
      <c r="AR129" s="705">
        <v>0.14365369789622795</v>
      </c>
      <c r="AU129" s="668"/>
      <c r="AW129" s="676"/>
      <c r="AX129" s="668"/>
    </row>
    <row r="130" spans="1:50" ht="15" x14ac:dyDescent="0.25">
      <c r="A130" s="375" t="s">
        <v>665</v>
      </c>
      <c r="B130" s="332" t="s">
        <v>666</v>
      </c>
      <c r="C130" s="332">
        <v>509195</v>
      </c>
      <c r="D130" s="376"/>
      <c r="E130" s="707"/>
      <c r="F130" s="377"/>
      <c r="G130" s="695">
        <v>6666</v>
      </c>
      <c r="H130" s="387"/>
      <c r="I130" s="708">
        <v>6666</v>
      </c>
      <c r="J130" s="387" t="s">
        <v>563</v>
      </c>
      <c r="K130" s="389">
        <v>3.6058989272000002</v>
      </c>
      <c r="L130" s="404">
        <v>24037</v>
      </c>
      <c r="M130" s="380"/>
      <c r="N130" s="391">
        <v>99.15789473684211</v>
      </c>
      <c r="O130" s="389">
        <v>0.2036</v>
      </c>
      <c r="P130" s="404">
        <v>767.16480000000013</v>
      </c>
      <c r="Q130" s="380"/>
      <c r="R130" s="392">
        <v>0</v>
      </c>
      <c r="S130" s="389">
        <v>1.7611399999999999</v>
      </c>
      <c r="T130" s="405">
        <v>0</v>
      </c>
      <c r="U130" s="376"/>
      <c r="V130" s="709"/>
      <c r="W130" s="395"/>
      <c r="X130" s="709"/>
      <c r="Y130" s="395"/>
      <c r="Z130" s="709"/>
      <c r="AA130" s="376"/>
      <c r="AB130" s="710"/>
      <c r="AC130" s="711"/>
      <c r="AD130" s="712">
        <v>0</v>
      </c>
      <c r="AE130" s="376"/>
      <c r="AF130" s="392">
        <v>10.263157894736842</v>
      </c>
      <c r="AG130" s="389">
        <v>0.2036</v>
      </c>
      <c r="AH130" s="404">
        <v>79.403999999999996</v>
      </c>
      <c r="AI130" s="376"/>
      <c r="AJ130" s="411">
        <v>24883.568800000001</v>
      </c>
      <c r="AK130" s="385"/>
      <c r="AL130" s="701">
        <v>30377.7901494</v>
      </c>
      <c r="AM130" s="702">
        <v>-5494.2213493999989</v>
      </c>
      <c r="AN130" s="713"/>
      <c r="AO130" s="714"/>
      <c r="AP130" s="324">
        <v>3.7329086108610863</v>
      </c>
      <c r="AQ130" s="324">
        <v>3.6058989272000002</v>
      </c>
      <c r="AR130" s="705">
        <v>0.12700968366108611</v>
      </c>
      <c r="AU130" s="668"/>
      <c r="AW130" s="676"/>
      <c r="AX130" s="668"/>
    </row>
    <row r="131" spans="1:50" ht="15" x14ac:dyDescent="0.25">
      <c r="A131" s="375" t="s">
        <v>1127</v>
      </c>
      <c r="B131" s="332"/>
      <c r="C131" s="332" t="s">
        <v>682</v>
      </c>
      <c r="D131" s="376"/>
      <c r="E131" s="707"/>
      <c r="F131" s="377"/>
      <c r="G131" s="695">
        <v>180</v>
      </c>
      <c r="H131" s="387"/>
      <c r="I131" s="708">
        <v>180</v>
      </c>
      <c r="J131" s="387"/>
      <c r="K131" s="389">
        <v>3.6058989272000002</v>
      </c>
      <c r="L131" s="404">
        <v>649</v>
      </c>
      <c r="M131" s="380"/>
      <c r="N131" s="391">
        <v>4.7368421052631575</v>
      </c>
      <c r="O131" s="389">
        <v>0.2036</v>
      </c>
      <c r="P131" s="404">
        <v>36.647999999999996</v>
      </c>
      <c r="Q131" s="380"/>
      <c r="R131" s="392">
        <v>0</v>
      </c>
      <c r="S131" s="389">
        <v>1.7611399999999999</v>
      </c>
      <c r="T131" s="405">
        <v>0</v>
      </c>
      <c r="U131" s="376"/>
      <c r="V131" s="709"/>
      <c r="W131" s="395"/>
      <c r="X131" s="709"/>
      <c r="Y131" s="395"/>
      <c r="Z131" s="709"/>
      <c r="AA131" s="376"/>
      <c r="AB131" s="710"/>
      <c r="AC131" s="711"/>
      <c r="AD131" s="712"/>
      <c r="AE131" s="376"/>
      <c r="AF131" s="392">
        <v>4.7368421052631575</v>
      </c>
      <c r="AG131" s="389">
        <v>0.2036</v>
      </c>
      <c r="AH131" s="404">
        <v>36.647999999999996</v>
      </c>
      <c r="AI131" s="376"/>
      <c r="AJ131" s="411">
        <v>722.29600000000005</v>
      </c>
      <c r="AK131" s="385"/>
      <c r="AL131" s="701">
        <v>0</v>
      </c>
      <c r="AM131" s="702">
        <v>722.29600000000005</v>
      </c>
      <c r="AN131" s="713"/>
      <c r="AO131" s="714"/>
      <c r="AP131" s="324">
        <v>4.0127555555555556</v>
      </c>
      <c r="AQ131" s="324">
        <v>3.6058989272000002</v>
      </c>
      <c r="AR131" s="705">
        <v>0.40685662835555547</v>
      </c>
      <c r="AU131" s="668"/>
      <c r="AW131" s="676"/>
      <c r="AX131" s="668"/>
    </row>
    <row r="132" spans="1:50" ht="15" x14ac:dyDescent="0.25">
      <c r="A132" s="375" t="s">
        <v>667</v>
      </c>
      <c r="B132" s="332"/>
      <c r="C132" s="332" t="s">
        <v>668</v>
      </c>
      <c r="D132" s="376"/>
      <c r="E132" s="707"/>
      <c r="F132" s="377"/>
      <c r="G132" s="695">
        <v>3888</v>
      </c>
      <c r="H132" s="387"/>
      <c r="I132" s="708">
        <v>3888</v>
      </c>
      <c r="J132" s="387" t="s">
        <v>563</v>
      </c>
      <c r="K132" s="389">
        <v>3.6058989272000002</v>
      </c>
      <c r="L132" s="404">
        <v>14020</v>
      </c>
      <c r="M132" s="380"/>
      <c r="N132" s="391">
        <v>22.736842105263158</v>
      </c>
      <c r="O132" s="389">
        <v>0.2036</v>
      </c>
      <c r="P132" s="404">
        <v>175.91040000000001</v>
      </c>
      <c r="Q132" s="380"/>
      <c r="R132" s="392">
        <v>0</v>
      </c>
      <c r="S132" s="389">
        <v>1.7611399999999999</v>
      </c>
      <c r="T132" s="405">
        <v>0</v>
      </c>
      <c r="U132" s="376"/>
      <c r="V132" s="709"/>
      <c r="W132" s="395"/>
      <c r="X132" s="709"/>
      <c r="Y132" s="395"/>
      <c r="Z132" s="709"/>
      <c r="AA132" s="376"/>
      <c r="AB132" s="710"/>
      <c r="AC132" s="711"/>
      <c r="AD132" s="712">
        <v>0</v>
      </c>
      <c r="AE132" s="376"/>
      <c r="AF132" s="392">
        <v>0</v>
      </c>
      <c r="AG132" s="389">
        <v>0.2036</v>
      </c>
      <c r="AH132" s="404">
        <v>0</v>
      </c>
      <c r="AI132" s="376"/>
      <c r="AJ132" s="411">
        <v>14195.910400000001</v>
      </c>
      <c r="AK132" s="385"/>
      <c r="AL132" s="701">
        <v>43321.763059427198</v>
      </c>
      <c r="AM132" s="702">
        <v>-29125.852659427197</v>
      </c>
      <c r="AN132" s="713"/>
      <c r="AO132" s="714"/>
      <c r="AP132" s="324">
        <v>3.6512115226337452</v>
      </c>
      <c r="AQ132" s="324">
        <v>3.6058989272000002</v>
      </c>
      <c r="AR132" s="705">
        <v>4.5312595433744995E-2</v>
      </c>
      <c r="AU132" s="668"/>
      <c r="AW132" s="676"/>
      <c r="AX132" s="668"/>
    </row>
    <row r="133" spans="1:50" ht="15" x14ac:dyDescent="0.25">
      <c r="A133" s="375" t="s">
        <v>669</v>
      </c>
      <c r="B133" s="332"/>
      <c r="C133" s="332" t="s">
        <v>670</v>
      </c>
      <c r="D133" s="376"/>
      <c r="E133" s="707"/>
      <c r="F133" s="377"/>
      <c r="G133" s="695">
        <v>4362</v>
      </c>
      <c r="H133" s="387"/>
      <c r="I133" s="708">
        <v>4362</v>
      </c>
      <c r="J133" s="387" t="s">
        <v>563</v>
      </c>
      <c r="K133" s="389">
        <v>3.6058989272000002</v>
      </c>
      <c r="L133" s="404">
        <v>15729</v>
      </c>
      <c r="M133" s="380"/>
      <c r="N133" s="391">
        <v>15</v>
      </c>
      <c r="O133" s="389">
        <v>0.2036</v>
      </c>
      <c r="P133" s="404">
        <v>116.05200000000001</v>
      </c>
      <c r="Q133" s="380"/>
      <c r="R133" s="392">
        <v>0</v>
      </c>
      <c r="S133" s="389">
        <v>1.7611399999999999</v>
      </c>
      <c r="T133" s="405">
        <v>0</v>
      </c>
      <c r="U133" s="376"/>
      <c r="V133" s="709"/>
      <c r="W133" s="395"/>
      <c r="X133" s="709"/>
      <c r="Y133" s="395"/>
      <c r="Z133" s="709"/>
      <c r="AA133" s="376"/>
      <c r="AB133" s="710"/>
      <c r="AC133" s="711"/>
      <c r="AD133" s="712">
        <v>0</v>
      </c>
      <c r="AE133" s="376"/>
      <c r="AF133" s="392">
        <v>0</v>
      </c>
      <c r="AG133" s="389">
        <v>0.2036</v>
      </c>
      <c r="AH133" s="404">
        <v>0</v>
      </c>
      <c r="AI133" s="376"/>
      <c r="AJ133" s="411">
        <v>15845.052</v>
      </c>
      <c r="AK133" s="385"/>
      <c r="AL133" s="701">
        <v>0</v>
      </c>
      <c r="AM133" s="702">
        <v>15845.052</v>
      </c>
      <c r="AN133" s="713"/>
      <c r="AO133" s="714"/>
      <c r="AP133" s="324">
        <v>3.632519944979367</v>
      </c>
      <c r="AQ133" s="324">
        <v>3.6058989272000002</v>
      </c>
      <c r="AR133" s="705">
        <v>2.6621017779366873E-2</v>
      </c>
      <c r="AU133" s="668"/>
      <c r="AW133" s="676"/>
      <c r="AX133" s="668"/>
    </row>
    <row r="134" spans="1:50" ht="15" x14ac:dyDescent="0.25">
      <c r="A134" s="375" t="s">
        <v>671</v>
      </c>
      <c r="B134" s="332" t="s">
        <v>672</v>
      </c>
      <c r="C134" s="332" t="s">
        <v>673</v>
      </c>
      <c r="D134" s="376"/>
      <c r="E134" s="707"/>
      <c r="F134" s="377"/>
      <c r="G134" s="695">
        <v>12108</v>
      </c>
      <c r="H134" s="387"/>
      <c r="I134" s="708">
        <v>12108</v>
      </c>
      <c r="J134" s="387" t="s">
        <v>579</v>
      </c>
      <c r="K134" s="389">
        <v>3.6058989272000002</v>
      </c>
      <c r="L134" s="404">
        <v>43660</v>
      </c>
      <c r="M134" s="380"/>
      <c r="N134" s="391">
        <v>52.89473684210526</v>
      </c>
      <c r="O134" s="389">
        <v>0.2036</v>
      </c>
      <c r="P134" s="404">
        <v>409.23599999999999</v>
      </c>
      <c r="Q134" s="380"/>
      <c r="R134" s="392">
        <v>0</v>
      </c>
      <c r="S134" s="389">
        <v>1.7611399999999999</v>
      </c>
      <c r="T134" s="405">
        <v>0</v>
      </c>
      <c r="U134" s="376"/>
      <c r="V134" s="709"/>
      <c r="W134" s="395"/>
      <c r="X134" s="709"/>
      <c r="Y134" s="395"/>
      <c r="Z134" s="709"/>
      <c r="AA134" s="376"/>
      <c r="AB134" s="710"/>
      <c r="AC134" s="711"/>
      <c r="AD134" s="712">
        <v>0</v>
      </c>
      <c r="AE134" s="376"/>
      <c r="AF134" s="392">
        <v>0</v>
      </c>
      <c r="AG134" s="389">
        <v>0.2036</v>
      </c>
      <c r="AH134" s="404">
        <v>0</v>
      </c>
      <c r="AI134" s="376"/>
      <c r="AJ134" s="411">
        <v>44069.235999999997</v>
      </c>
      <c r="AK134" s="385"/>
      <c r="AL134" s="701">
        <v>64071.934159027202</v>
      </c>
      <c r="AM134" s="702">
        <v>-20002.698159027204</v>
      </c>
      <c r="AN134" s="713"/>
      <c r="AO134" s="714"/>
      <c r="AP134" s="324">
        <v>3.6396792203501813</v>
      </c>
      <c r="AQ134" s="324">
        <v>3.6058989272000002</v>
      </c>
      <c r="AR134" s="705">
        <v>3.3780293150181162E-2</v>
      </c>
      <c r="AU134" s="668"/>
      <c r="AW134" s="676"/>
      <c r="AX134" s="668"/>
    </row>
    <row r="135" spans="1:50" ht="15" x14ac:dyDescent="0.25">
      <c r="A135" s="718" t="s">
        <v>674</v>
      </c>
      <c r="B135" s="331" t="s">
        <v>675</v>
      </c>
      <c r="C135" s="719">
        <v>509199</v>
      </c>
      <c r="D135" s="376"/>
      <c r="E135" s="707"/>
      <c r="F135" s="377"/>
      <c r="G135" s="695">
        <v>9858</v>
      </c>
      <c r="H135" s="387"/>
      <c r="I135" s="708">
        <v>9858</v>
      </c>
      <c r="J135" s="387" t="s">
        <v>563</v>
      </c>
      <c r="K135" s="389">
        <v>3.6058989272000002</v>
      </c>
      <c r="L135" s="404">
        <v>35547</v>
      </c>
      <c r="M135" s="380"/>
      <c r="N135" s="391">
        <v>187.89473684210526</v>
      </c>
      <c r="O135" s="389">
        <v>0.2036</v>
      </c>
      <c r="P135" s="404">
        <v>1453.704</v>
      </c>
      <c r="Q135" s="380"/>
      <c r="R135" s="392">
        <v>0</v>
      </c>
      <c r="S135" s="389">
        <v>1.7611399999999999</v>
      </c>
      <c r="T135" s="405">
        <v>0</v>
      </c>
      <c r="U135" s="376"/>
      <c r="V135" s="709"/>
      <c r="W135" s="395"/>
      <c r="X135" s="709"/>
      <c r="Y135" s="395"/>
      <c r="Z135" s="709"/>
      <c r="AA135" s="376"/>
      <c r="AB135" s="710"/>
      <c r="AC135" s="711"/>
      <c r="AD135" s="712">
        <v>0</v>
      </c>
      <c r="AE135" s="376"/>
      <c r="AF135" s="392">
        <v>34.736842105263158</v>
      </c>
      <c r="AG135" s="389">
        <v>0.2036</v>
      </c>
      <c r="AH135" s="404">
        <v>268.75200000000001</v>
      </c>
      <c r="AI135" s="376"/>
      <c r="AJ135" s="411">
        <v>37269.455999999998</v>
      </c>
      <c r="AK135" s="385"/>
      <c r="AL135" s="701">
        <v>38525.181779280007</v>
      </c>
      <c r="AM135" s="702">
        <v>-1255.7257792800083</v>
      </c>
      <c r="AN135" s="713"/>
      <c r="AO135" s="714"/>
      <c r="AP135" s="324">
        <v>3.780630553864881</v>
      </c>
      <c r="AQ135" s="324">
        <v>3.6058989272000002</v>
      </c>
      <c r="AR135" s="705">
        <v>0.17473162666488085</v>
      </c>
      <c r="AU135" s="668"/>
      <c r="AW135" s="676"/>
      <c r="AX135" s="668"/>
    </row>
    <row r="136" spans="1:50" ht="15" x14ac:dyDescent="0.25">
      <c r="A136" s="375" t="s">
        <v>676</v>
      </c>
      <c r="B136" s="332" t="s">
        <v>677</v>
      </c>
      <c r="C136" s="332">
        <v>509197</v>
      </c>
      <c r="D136" s="376"/>
      <c r="E136" s="707"/>
      <c r="F136" s="377"/>
      <c r="G136" s="695">
        <v>19968</v>
      </c>
      <c r="H136" s="387"/>
      <c r="I136" s="708">
        <v>19968</v>
      </c>
      <c r="J136" s="387" t="s">
        <v>563</v>
      </c>
      <c r="K136" s="389">
        <v>3.6058989272000002</v>
      </c>
      <c r="L136" s="404">
        <v>72003</v>
      </c>
      <c r="M136" s="380"/>
      <c r="N136" s="391">
        <v>426.31578947368416</v>
      </c>
      <c r="O136" s="389">
        <v>0.2036</v>
      </c>
      <c r="P136" s="404">
        <v>3298.3199999999997</v>
      </c>
      <c r="Q136" s="380"/>
      <c r="R136" s="392">
        <v>10.263157894736842</v>
      </c>
      <c r="S136" s="389">
        <v>1.7611399999999999</v>
      </c>
      <c r="T136" s="405">
        <v>686.8445999999999</v>
      </c>
      <c r="U136" s="376"/>
      <c r="V136" s="709"/>
      <c r="W136" s="395"/>
      <c r="X136" s="709"/>
      <c r="Y136" s="395"/>
      <c r="Z136" s="709"/>
      <c r="AA136" s="376"/>
      <c r="AB136" s="710"/>
      <c r="AC136" s="711"/>
      <c r="AD136" s="712">
        <v>0</v>
      </c>
      <c r="AE136" s="376"/>
      <c r="AF136" s="392">
        <v>71.05263157894737</v>
      </c>
      <c r="AG136" s="389">
        <v>0.2036</v>
      </c>
      <c r="AH136" s="404">
        <v>549.72</v>
      </c>
      <c r="AI136" s="376"/>
      <c r="AJ136" s="411">
        <v>76537.884600000005</v>
      </c>
      <c r="AK136" s="385"/>
      <c r="AL136" s="701">
        <v>57515.141353516803</v>
      </c>
      <c r="AM136" s="702">
        <v>19022.743246483202</v>
      </c>
      <c r="AN136" s="713"/>
      <c r="AO136" s="714"/>
      <c r="AP136" s="324">
        <v>3.8330270733173077</v>
      </c>
      <c r="AQ136" s="324">
        <v>3.6058989272000002</v>
      </c>
      <c r="AR136" s="705">
        <v>0.22712814611730758</v>
      </c>
      <c r="AU136" s="668"/>
      <c r="AW136" s="676"/>
      <c r="AX136" s="668"/>
    </row>
    <row r="137" spans="1:50" ht="15" x14ac:dyDescent="0.25">
      <c r="A137" s="375" t="s">
        <v>678</v>
      </c>
      <c r="B137" s="332" t="s">
        <v>679</v>
      </c>
      <c r="C137" s="332" t="s">
        <v>680</v>
      </c>
      <c r="D137" s="376"/>
      <c r="E137" s="707"/>
      <c r="F137" s="377"/>
      <c r="G137" s="695">
        <v>11640</v>
      </c>
      <c r="H137" s="387"/>
      <c r="I137" s="708">
        <v>11640</v>
      </c>
      <c r="J137" s="387" t="s">
        <v>579</v>
      </c>
      <c r="K137" s="389">
        <v>3.6058989272000002</v>
      </c>
      <c r="L137" s="404">
        <v>41973</v>
      </c>
      <c r="M137" s="380"/>
      <c r="N137" s="391">
        <v>0</v>
      </c>
      <c r="O137" s="389">
        <v>0.2036</v>
      </c>
      <c r="P137" s="404">
        <v>0</v>
      </c>
      <c r="Q137" s="380"/>
      <c r="R137" s="392">
        <v>0</v>
      </c>
      <c r="S137" s="389">
        <v>1.7611399999999999</v>
      </c>
      <c r="T137" s="405">
        <v>0</v>
      </c>
      <c r="U137" s="376"/>
      <c r="V137" s="709"/>
      <c r="W137" s="395"/>
      <c r="X137" s="709"/>
      <c r="Y137" s="395"/>
      <c r="Z137" s="709"/>
      <c r="AA137" s="376"/>
      <c r="AB137" s="710"/>
      <c r="AC137" s="711"/>
      <c r="AD137" s="712">
        <v>0</v>
      </c>
      <c r="AE137" s="376"/>
      <c r="AF137" s="392">
        <v>25.105263157894736</v>
      </c>
      <c r="AG137" s="389">
        <v>0.2036</v>
      </c>
      <c r="AH137" s="404">
        <v>194.23440000000002</v>
      </c>
      <c r="AI137" s="376"/>
      <c r="AJ137" s="411">
        <v>42167.234400000001</v>
      </c>
      <c r="AK137" s="385"/>
      <c r="AL137" s="701">
        <v>50650.576770072003</v>
      </c>
      <c r="AM137" s="702">
        <v>-8483.3423700720014</v>
      </c>
      <c r="AN137" s="713"/>
      <c r="AO137" s="714"/>
      <c r="AP137" s="324">
        <v>3.6226146391752581</v>
      </c>
      <c r="AQ137" s="324">
        <v>3.6058989272000002</v>
      </c>
      <c r="AR137" s="705">
        <v>1.6715711975257896E-2</v>
      </c>
      <c r="AU137" s="668"/>
      <c r="AW137" s="676"/>
      <c r="AX137" s="668"/>
    </row>
    <row r="138" spans="1:50" ht="15" x14ac:dyDescent="0.25">
      <c r="A138" s="718" t="s">
        <v>683</v>
      </c>
      <c r="B138" s="331" t="s">
        <v>684</v>
      </c>
      <c r="C138" s="724">
        <v>206117</v>
      </c>
      <c r="D138" s="376"/>
      <c r="E138" s="707"/>
      <c r="F138" s="377"/>
      <c r="G138" s="695">
        <v>22218</v>
      </c>
      <c r="H138" s="387"/>
      <c r="I138" s="708">
        <v>22218</v>
      </c>
      <c r="J138" s="387" t="s">
        <v>563</v>
      </c>
      <c r="K138" s="389">
        <v>3.6058989272000002</v>
      </c>
      <c r="L138" s="404">
        <v>80116</v>
      </c>
      <c r="M138" s="380"/>
      <c r="N138" s="391">
        <v>25.263157894736842</v>
      </c>
      <c r="O138" s="389">
        <v>0.2036</v>
      </c>
      <c r="P138" s="404">
        <v>195.45599999999999</v>
      </c>
      <c r="Q138" s="380"/>
      <c r="R138" s="392">
        <v>0</v>
      </c>
      <c r="S138" s="389">
        <v>1.7611399999999999</v>
      </c>
      <c r="T138" s="405">
        <v>0</v>
      </c>
      <c r="U138" s="376"/>
      <c r="V138" s="709"/>
      <c r="W138" s="395"/>
      <c r="X138" s="709"/>
      <c r="Y138" s="395"/>
      <c r="Z138" s="709"/>
      <c r="AA138" s="376"/>
      <c r="AB138" s="710"/>
      <c r="AC138" s="711"/>
      <c r="AD138" s="712">
        <v>0</v>
      </c>
      <c r="AE138" s="376"/>
      <c r="AF138" s="392">
        <v>0</v>
      </c>
      <c r="AG138" s="389">
        <v>0.2036</v>
      </c>
      <c r="AH138" s="404">
        <v>0</v>
      </c>
      <c r="AI138" s="376"/>
      <c r="AJ138" s="411">
        <v>80311.456000000006</v>
      </c>
      <c r="AK138" s="385"/>
      <c r="AL138" s="701">
        <v>65600.629644542394</v>
      </c>
      <c r="AM138" s="702">
        <v>14710.826355457611</v>
      </c>
      <c r="AN138" s="713"/>
      <c r="AO138" s="714"/>
      <c r="AP138" s="324">
        <v>3.6147023134395537</v>
      </c>
      <c r="AQ138" s="324">
        <v>3.6058989272000002</v>
      </c>
      <c r="AR138" s="705">
        <v>8.8033862395535678E-3</v>
      </c>
      <c r="AU138" s="668"/>
      <c r="AW138" s="676"/>
      <c r="AX138" s="668"/>
    </row>
    <row r="139" spans="1:50" ht="15" x14ac:dyDescent="0.25">
      <c r="A139" s="375" t="s">
        <v>685</v>
      </c>
      <c r="B139" s="332" t="s">
        <v>686</v>
      </c>
      <c r="C139" s="532">
        <v>206141</v>
      </c>
      <c r="D139" s="376"/>
      <c r="E139" s="707"/>
      <c r="F139" s="377"/>
      <c r="G139" s="695">
        <v>14070</v>
      </c>
      <c r="H139" s="387"/>
      <c r="I139" s="708">
        <v>14070</v>
      </c>
      <c r="J139" s="387" t="s">
        <v>579</v>
      </c>
      <c r="K139" s="389">
        <v>3.6058989272000002</v>
      </c>
      <c r="L139" s="404">
        <v>50735</v>
      </c>
      <c r="M139" s="380"/>
      <c r="N139" s="391">
        <v>42</v>
      </c>
      <c r="O139" s="389">
        <v>0.2036</v>
      </c>
      <c r="P139" s="404">
        <v>324.94560000000001</v>
      </c>
      <c r="Q139" s="380"/>
      <c r="R139" s="392">
        <v>0</v>
      </c>
      <c r="S139" s="389">
        <v>1.7611399999999999</v>
      </c>
      <c r="T139" s="405">
        <v>0</v>
      </c>
      <c r="U139" s="376"/>
      <c r="V139" s="709"/>
      <c r="W139" s="395"/>
      <c r="X139" s="709"/>
      <c r="Y139" s="395"/>
      <c r="Z139" s="709"/>
      <c r="AA139" s="376"/>
      <c r="AB139" s="710"/>
      <c r="AC139" s="711"/>
      <c r="AD139" s="712">
        <v>0</v>
      </c>
      <c r="AE139" s="376"/>
      <c r="AF139" s="392">
        <v>3.7894736842105261</v>
      </c>
      <c r="AG139" s="389">
        <v>0.2036</v>
      </c>
      <c r="AH139" s="404">
        <v>29.318399999999997</v>
      </c>
      <c r="AI139" s="376"/>
      <c r="AJ139" s="411">
        <v>51089.264000000003</v>
      </c>
      <c r="AK139" s="385"/>
      <c r="AL139" s="701">
        <v>52072.081983864002</v>
      </c>
      <c r="AM139" s="702">
        <v>-982.81798386399896</v>
      </c>
      <c r="AN139" s="713"/>
      <c r="AO139" s="714"/>
      <c r="AP139" s="324">
        <v>3.6310777540867094</v>
      </c>
      <c r="AQ139" s="324">
        <v>3.6058989272000002</v>
      </c>
      <c r="AR139" s="705">
        <v>2.5178826886709249E-2</v>
      </c>
      <c r="AU139" s="668"/>
      <c r="AW139" s="676"/>
      <c r="AX139" s="668"/>
    </row>
    <row r="140" spans="1:50" ht="15" x14ac:dyDescent="0.25">
      <c r="A140" s="375" t="s">
        <v>687</v>
      </c>
      <c r="B140" s="332" t="s">
        <v>688</v>
      </c>
      <c r="C140" s="532" t="s">
        <v>689</v>
      </c>
      <c r="D140" s="376"/>
      <c r="E140" s="707"/>
      <c r="F140" s="377"/>
      <c r="G140" s="695">
        <v>18250</v>
      </c>
      <c r="H140" s="387"/>
      <c r="I140" s="708">
        <v>18250</v>
      </c>
      <c r="J140" s="387" t="s">
        <v>563</v>
      </c>
      <c r="K140" s="389">
        <v>3.6058989272000002</v>
      </c>
      <c r="L140" s="404">
        <v>65808</v>
      </c>
      <c r="M140" s="380"/>
      <c r="N140" s="391">
        <v>52.89473684210526</v>
      </c>
      <c r="O140" s="389">
        <v>0.2036</v>
      </c>
      <c r="P140" s="404">
        <v>409.23599999999999</v>
      </c>
      <c r="Q140" s="380"/>
      <c r="R140" s="392">
        <v>19.736842105263158</v>
      </c>
      <c r="S140" s="389">
        <v>1.7611399999999999</v>
      </c>
      <c r="T140" s="405">
        <v>1320.855</v>
      </c>
      <c r="U140" s="376"/>
      <c r="V140" s="709"/>
      <c r="W140" s="395"/>
      <c r="X140" s="709"/>
      <c r="Y140" s="395"/>
      <c r="Z140" s="709"/>
      <c r="AA140" s="376"/>
      <c r="AB140" s="710"/>
      <c r="AC140" s="711"/>
      <c r="AD140" s="712">
        <v>0</v>
      </c>
      <c r="AE140" s="376"/>
      <c r="AF140" s="392">
        <v>0</v>
      </c>
      <c r="AG140" s="389">
        <v>0.2036</v>
      </c>
      <c r="AH140" s="404">
        <v>0</v>
      </c>
      <c r="AI140" s="376"/>
      <c r="AJ140" s="411">
        <v>67538.091</v>
      </c>
      <c r="AK140" s="385"/>
      <c r="AL140" s="701">
        <v>57500.214503400006</v>
      </c>
      <c r="AM140" s="702">
        <v>10037.876496599994</v>
      </c>
      <c r="AN140" s="713"/>
      <c r="AO140" s="714"/>
      <c r="AP140" s="324">
        <v>3.7007173150684931</v>
      </c>
      <c r="AQ140" s="324">
        <v>3.6058989272000002</v>
      </c>
      <c r="AR140" s="705">
        <v>9.4818387868492948E-2</v>
      </c>
      <c r="AU140" s="668"/>
      <c r="AW140" s="676"/>
      <c r="AX140" s="668"/>
    </row>
    <row r="141" spans="1:50" ht="15" x14ac:dyDescent="0.25">
      <c r="A141" s="375" t="s">
        <v>690</v>
      </c>
      <c r="B141" s="332" t="s">
        <v>691</v>
      </c>
      <c r="C141" s="332">
        <v>258404</v>
      </c>
      <c r="D141" s="376"/>
      <c r="E141" s="707"/>
      <c r="F141" s="377"/>
      <c r="G141" s="695">
        <v>17238</v>
      </c>
      <c r="H141" s="387"/>
      <c r="I141" s="708">
        <v>17238</v>
      </c>
      <c r="J141" s="387" t="s">
        <v>563</v>
      </c>
      <c r="K141" s="389">
        <v>3.6058989272000002</v>
      </c>
      <c r="L141" s="404">
        <v>62158</v>
      </c>
      <c r="M141" s="380"/>
      <c r="N141" s="391">
        <v>574.73684210526312</v>
      </c>
      <c r="O141" s="389">
        <v>0.2036</v>
      </c>
      <c r="P141" s="404">
        <v>4446.6239999999998</v>
      </c>
      <c r="Q141" s="380"/>
      <c r="R141" s="392">
        <v>15</v>
      </c>
      <c r="S141" s="389">
        <v>1.7611399999999999</v>
      </c>
      <c r="T141" s="405">
        <v>1003.8498</v>
      </c>
      <c r="U141" s="376"/>
      <c r="V141" s="709"/>
      <c r="W141" s="395"/>
      <c r="X141" s="709"/>
      <c r="Y141" s="395"/>
      <c r="Z141" s="709"/>
      <c r="AA141" s="376"/>
      <c r="AB141" s="710"/>
      <c r="AC141" s="711"/>
      <c r="AD141" s="712">
        <v>0</v>
      </c>
      <c r="AE141" s="376"/>
      <c r="AF141" s="392">
        <v>63.94736842105263</v>
      </c>
      <c r="AG141" s="389">
        <v>0.2036</v>
      </c>
      <c r="AH141" s="404">
        <v>494.74799999999999</v>
      </c>
      <c r="AI141" s="376"/>
      <c r="AJ141" s="411">
        <v>68103.221799999999</v>
      </c>
      <c r="AK141" s="385"/>
      <c r="AL141" s="701">
        <v>78392.49239028481</v>
      </c>
      <c r="AM141" s="702">
        <v>-10289.27059028481</v>
      </c>
      <c r="AN141" s="713"/>
      <c r="AO141" s="714"/>
      <c r="AP141" s="324">
        <v>3.9507612135978651</v>
      </c>
      <c r="AQ141" s="324">
        <v>3.6058989272000002</v>
      </c>
      <c r="AR141" s="705">
        <v>0.34486228639786498</v>
      </c>
      <c r="AU141" s="668"/>
      <c r="AW141" s="676"/>
      <c r="AX141" s="668"/>
    </row>
    <row r="142" spans="1:50" ht="15" x14ac:dyDescent="0.25">
      <c r="A142" s="375" t="s">
        <v>692</v>
      </c>
      <c r="B142" s="332" t="s">
        <v>693</v>
      </c>
      <c r="C142" s="332">
        <v>258405</v>
      </c>
      <c r="D142" s="376"/>
      <c r="E142" s="707"/>
      <c r="F142" s="377"/>
      <c r="G142" s="695">
        <v>16768</v>
      </c>
      <c r="H142" s="387"/>
      <c r="I142" s="708">
        <v>16768</v>
      </c>
      <c r="J142" s="387" t="s">
        <v>563</v>
      </c>
      <c r="K142" s="389">
        <v>3.6058989272000002</v>
      </c>
      <c r="L142" s="404">
        <v>60464</v>
      </c>
      <c r="M142" s="380"/>
      <c r="N142" s="391">
        <v>212.68421052631578</v>
      </c>
      <c r="O142" s="389">
        <v>0.2036</v>
      </c>
      <c r="P142" s="404">
        <v>1645.4951999999998</v>
      </c>
      <c r="Q142" s="380"/>
      <c r="R142" s="392">
        <v>4.7368421052631575</v>
      </c>
      <c r="S142" s="389">
        <v>1.7611399999999999</v>
      </c>
      <c r="T142" s="405">
        <v>317.00519999999995</v>
      </c>
      <c r="U142" s="376"/>
      <c r="V142" s="709"/>
      <c r="W142" s="395"/>
      <c r="X142" s="709"/>
      <c r="Y142" s="395"/>
      <c r="Z142" s="709"/>
      <c r="AA142" s="376"/>
      <c r="AB142" s="710"/>
      <c r="AC142" s="711"/>
      <c r="AD142" s="712">
        <v>0</v>
      </c>
      <c r="AE142" s="376"/>
      <c r="AF142" s="392">
        <v>40.263157894736842</v>
      </c>
      <c r="AG142" s="389">
        <v>0.2036</v>
      </c>
      <c r="AH142" s="404">
        <v>311.50800000000004</v>
      </c>
      <c r="AI142" s="376"/>
      <c r="AJ142" s="411">
        <v>62738.008399999999</v>
      </c>
      <c r="AK142" s="385"/>
      <c r="AL142" s="701">
        <v>71847.632900019191</v>
      </c>
      <c r="AM142" s="702">
        <v>-9109.6245000191921</v>
      </c>
      <c r="AN142" s="713"/>
      <c r="AO142" s="714"/>
      <c r="AP142" s="324">
        <v>3.7415319895038168</v>
      </c>
      <c r="AQ142" s="324">
        <v>3.6058989272000002</v>
      </c>
      <c r="AR142" s="705">
        <v>0.13563306230381666</v>
      </c>
      <c r="AU142" s="668"/>
      <c r="AW142" s="676"/>
      <c r="AX142" s="668"/>
    </row>
    <row r="143" spans="1:50" ht="15" x14ac:dyDescent="0.25">
      <c r="A143" s="718" t="s">
        <v>694</v>
      </c>
      <c r="B143" s="331" t="s">
        <v>695</v>
      </c>
      <c r="C143" s="724">
        <v>258406</v>
      </c>
      <c r="D143" s="376"/>
      <c r="E143" s="707"/>
      <c r="F143" s="377"/>
      <c r="G143" s="695">
        <v>31529</v>
      </c>
      <c r="H143" s="387"/>
      <c r="I143" s="708">
        <v>31529</v>
      </c>
      <c r="J143" s="387" t="s">
        <v>563</v>
      </c>
      <c r="K143" s="389">
        <v>3.6058989272000002</v>
      </c>
      <c r="L143" s="404">
        <v>113690</v>
      </c>
      <c r="M143" s="380"/>
      <c r="N143" s="391">
        <v>300.31578947368422</v>
      </c>
      <c r="O143" s="389">
        <v>0.2036</v>
      </c>
      <c r="P143" s="404">
        <v>2323.4832000000001</v>
      </c>
      <c r="Q143" s="380"/>
      <c r="R143" s="392">
        <v>0</v>
      </c>
      <c r="S143" s="389">
        <v>1.7611399999999999</v>
      </c>
      <c r="T143" s="405">
        <v>0</v>
      </c>
      <c r="U143" s="376"/>
      <c r="V143" s="709"/>
      <c r="W143" s="395"/>
      <c r="X143" s="709"/>
      <c r="Y143" s="395"/>
      <c r="Z143" s="709"/>
      <c r="AA143" s="376"/>
      <c r="AB143" s="710"/>
      <c r="AC143" s="711"/>
      <c r="AD143" s="712">
        <v>0</v>
      </c>
      <c r="AE143" s="376"/>
      <c r="AF143" s="392">
        <v>9.1578947368421044</v>
      </c>
      <c r="AG143" s="389">
        <v>0.2036</v>
      </c>
      <c r="AH143" s="404">
        <v>70.852800000000002</v>
      </c>
      <c r="AI143" s="376"/>
      <c r="AJ143" s="411">
        <v>116084.336</v>
      </c>
      <c r="AK143" s="385"/>
      <c r="AL143" s="701">
        <v>92961.875060612816</v>
      </c>
      <c r="AM143" s="702">
        <v>23122.46093938718</v>
      </c>
      <c r="AN143" s="713"/>
      <c r="AO143" s="714"/>
      <c r="AP143" s="324">
        <v>3.6818273969995876</v>
      </c>
      <c r="AQ143" s="324">
        <v>3.6058989272000002</v>
      </c>
      <c r="AR143" s="705">
        <v>7.592846979958745E-2</v>
      </c>
      <c r="AU143" s="668"/>
      <c r="AW143" s="676"/>
      <c r="AX143" s="668"/>
    </row>
    <row r="144" spans="1:50" ht="15" x14ac:dyDescent="0.25">
      <c r="A144" s="375" t="s">
        <v>1128</v>
      </c>
      <c r="B144" s="332"/>
      <c r="C144" s="332">
        <v>206145</v>
      </c>
      <c r="D144" s="376"/>
      <c r="E144" s="707"/>
      <c r="F144" s="377"/>
      <c r="G144" s="695">
        <v>72</v>
      </c>
      <c r="H144" s="387"/>
      <c r="I144" s="708">
        <v>72</v>
      </c>
      <c r="J144" s="387"/>
      <c r="K144" s="389">
        <v>3.6058989272000002</v>
      </c>
      <c r="L144" s="404">
        <v>260</v>
      </c>
      <c r="M144" s="380"/>
      <c r="N144" s="391">
        <v>5.6842105263157894</v>
      </c>
      <c r="O144" s="389">
        <v>0.2036</v>
      </c>
      <c r="P144" s="404">
        <v>43.977600000000002</v>
      </c>
      <c r="Q144" s="380"/>
      <c r="R144" s="392">
        <v>0</v>
      </c>
      <c r="S144" s="389">
        <v>1.7611399999999999</v>
      </c>
      <c r="T144" s="405">
        <v>0</v>
      </c>
      <c r="U144" s="376"/>
      <c r="V144" s="709"/>
      <c r="W144" s="395"/>
      <c r="X144" s="709"/>
      <c r="Y144" s="395"/>
      <c r="Z144" s="709"/>
      <c r="AA144" s="376"/>
      <c r="AB144" s="710"/>
      <c r="AC144" s="711"/>
      <c r="AD144" s="712">
        <v>0</v>
      </c>
      <c r="AE144" s="376"/>
      <c r="AF144" s="392">
        <v>0</v>
      </c>
      <c r="AG144" s="389">
        <v>0.2036</v>
      </c>
      <c r="AH144" s="404">
        <v>0</v>
      </c>
      <c r="AI144" s="376"/>
      <c r="AJ144" s="411">
        <v>303.9776</v>
      </c>
      <c r="AK144" s="385"/>
      <c r="AL144" s="701">
        <v>0</v>
      </c>
      <c r="AM144" s="702">
        <v>303.9776</v>
      </c>
      <c r="AN144" s="713"/>
      <c r="AO144" s="714"/>
      <c r="AP144" s="324">
        <v>4.2219111111111109</v>
      </c>
      <c r="AQ144" s="324">
        <v>3.6058989272000002</v>
      </c>
      <c r="AR144" s="705">
        <v>0.61601218391111079</v>
      </c>
      <c r="AU144" s="668"/>
      <c r="AW144" s="676"/>
      <c r="AX144" s="668"/>
    </row>
    <row r="145" spans="1:50" ht="15" x14ac:dyDescent="0.25">
      <c r="A145" s="375" t="s">
        <v>1129</v>
      </c>
      <c r="B145" s="332"/>
      <c r="C145" s="332" t="s">
        <v>1130</v>
      </c>
      <c r="D145" s="376"/>
      <c r="E145" s="707"/>
      <c r="F145" s="377"/>
      <c r="G145" s="695">
        <v>1620</v>
      </c>
      <c r="H145" s="387"/>
      <c r="I145" s="708">
        <v>1620</v>
      </c>
      <c r="J145" s="387"/>
      <c r="K145" s="389">
        <v>3.6058989272000002</v>
      </c>
      <c r="L145" s="404">
        <v>5842</v>
      </c>
      <c r="M145" s="380"/>
      <c r="N145" s="391">
        <v>127.89473684210526</v>
      </c>
      <c r="O145" s="389">
        <v>0.2036</v>
      </c>
      <c r="P145" s="404">
        <v>989.49599999999998</v>
      </c>
      <c r="Q145" s="380"/>
      <c r="R145" s="392">
        <v>0</v>
      </c>
      <c r="S145" s="389">
        <v>1.7611399999999999</v>
      </c>
      <c r="T145" s="405">
        <v>0</v>
      </c>
      <c r="U145" s="376"/>
      <c r="V145" s="709"/>
      <c r="W145" s="395"/>
      <c r="X145" s="709"/>
      <c r="Y145" s="395"/>
      <c r="Z145" s="709"/>
      <c r="AA145" s="376"/>
      <c r="AB145" s="710"/>
      <c r="AC145" s="711"/>
      <c r="AD145" s="712"/>
      <c r="AE145" s="376"/>
      <c r="AF145" s="392">
        <v>0</v>
      </c>
      <c r="AG145" s="389">
        <v>0.2036</v>
      </c>
      <c r="AH145" s="404">
        <v>0</v>
      </c>
      <c r="AI145" s="376"/>
      <c r="AJ145" s="411">
        <v>6831.4960000000001</v>
      </c>
      <c r="AK145" s="385"/>
      <c r="AL145" s="701">
        <v>0</v>
      </c>
      <c r="AM145" s="702">
        <v>6831.4960000000001</v>
      </c>
      <c r="AN145" s="713"/>
      <c r="AO145" s="714"/>
      <c r="AP145" s="324">
        <v>4.2169728395061732</v>
      </c>
      <c r="AQ145" s="324">
        <v>3.6058989272000002</v>
      </c>
      <c r="AR145" s="705">
        <v>0.61107391230617303</v>
      </c>
      <c r="AU145" s="668"/>
      <c r="AW145" s="676"/>
      <c r="AX145" s="668"/>
    </row>
    <row r="146" spans="1:50" ht="15" x14ac:dyDescent="0.25">
      <c r="A146" s="375" t="s">
        <v>696</v>
      </c>
      <c r="B146" s="332" t="s">
        <v>697</v>
      </c>
      <c r="C146" s="332">
        <v>206160</v>
      </c>
      <c r="D146" s="376"/>
      <c r="E146" s="707"/>
      <c r="F146" s="377"/>
      <c r="G146" s="695">
        <v>5802</v>
      </c>
      <c r="H146" s="387"/>
      <c r="I146" s="708">
        <v>5802</v>
      </c>
      <c r="J146" s="387" t="s">
        <v>579</v>
      </c>
      <c r="K146" s="389">
        <v>3.6058989272000002</v>
      </c>
      <c r="L146" s="404">
        <v>20921</v>
      </c>
      <c r="M146" s="380"/>
      <c r="N146" s="391">
        <v>156.63157894736844</v>
      </c>
      <c r="O146" s="389">
        <v>0.2036</v>
      </c>
      <c r="P146" s="404">
        <v>1211.8272000000002</v>
      </c>
      <c r="Q146" s="380"/>
      <c r="R146" s="392">
        <v>0</v>
      </c>
      <c r="S146" s="389">
        <v>1.7611399999999999</v>
      </c>
      <c r="T146" s="405">
        <v>0</v>
      </c>
      <c r="U146" s="376"/>
      <c r="V146" s="709"/>
      <c r="W146" s="395"/>
      <c r="X146" s="709"/>
      <c r="Y146" s="395"/>
      <c r="Z146" s="709"/>
      <c r="AA146" s="376"/>
      <c r="AB146" s="710"/>
      <c r="AC146" s="711"/>
      <c r="AD146" s="712">
        <v>0</v>
      </c>
      <c r="AE146" s="376"/>
      <c r="AF146" s="392">
        <v>0.94736842105263153</v>
      </c>
      <c r="AG146" s="389">
        <v>0.2036</v>
      </c>
      <c r="AH146" s="404">
        <v>7.3295999999999992</v>
      </c>
      <c r="AI146" s="376"/>
      <c r="AJ146" s="411">
        <v>22140.156800000001</v>
      </c>
      <c r="AK146" s="385"/>
      <c r="AL146" s="701">
        <v>16335.55153332</v>
      </c>
      <c r="AM146" s="702">
        <v>5804.6052666800006</v>
      </c>
      <c r="AN146" s="713"/>
      <c r="AO146" s="714"/>
      <c r="AP146" s="324">
        <v>3.8159525680799726</v>
      </c>
      <c r="AQ146" s="324">
        <v>3.6058989272000002</v>
      </c>
      <c r="AR146" s="705">
        <v>0.21005364087997247</v>
      </c>
      <c r="AU146" s="668"/>
      <c r="AW146" s="676"/>
      <c r="AX146" s="668"/>
    </row>
    <row r="147" spans="1:50" ht="15" x14ac:dyDescent="0.25">
      <c r="A147" s="375" t="s">
        <v>698</v>
      </c>
      <c r="B147" s="332" t="s">
        <v>699</v>
      </c>
      <c r="C147" s="332" t="s">
        <v>700</v>
      </c>
      <c r="D147" s="376"/>
      <c r="E147" s="707"/>
      <c r="F147" s="377"/>
      <c r="G147" s="695">
        <v>24338</v>
      </c>
      <c r="H147" s="387"/>
      <c r="I147" s="708">
        <v>24338</v>
      </c>
      <c r="J147" s="387" t="s">
        <v>563</v>
      </c>
      <c r="K147" s="389">
        <v>3.6058989272000002</v>
      </c>
      <c r="L147" s="404">
        <v>87760</v>
      </c>
      <c r="M147" s="380"/>
      <c r="N147" s="391">
        <v>895.63157894736844</v>
      </c>
      <c r="O147" s="389">
        <v>0.2036</v>
      </c>
      <c r="P147" s="404">
        <v>6929.3224</v>
      </c>
      <c r="Q147" s="380"/>
      <c r="R147" s="392">
        <v>4.7368421052631575</v>
      </c>
      <c r="S147" s="389">
        <v>1.7611399999999999</v>
      </c>
      <c r="T147" s="405">
        <v>317.00519999999995</v>
      </c>
      <c r="U147" s="376"/>
      <c r="V147" s="709"/>
      <c r="W147" s="395"/>
      <c r="X147" s="709"/>
      <c r="Y147" s="395"/>
      <c r="Z147" s="709"/>
      <c r="AA147" s="376"/>
      <c r="AB147" s="710"/>
      <c r="AC147" s="711"/>
      <c r="AD147" s="712">
        <v>0</v>
      </c>
      <c r="AE147" s="376"/>
      <c r="AF147" s="392">
        <v>284.73684210526318</v>
      </c>
      <c r="AG147" s="389">
        <v>0.2036</v>
      </c>
      <c r="AH147" s="404">
        <v>2202.9520000000002</v>
      </c>
      <c r="AI147" s="376"/>
      <c r="AJ147" s="411">
        <v>97209.279599999994</v>
      </c>
      <c r="AK147" s="385"/>
      <c r="AL147" s="701">
        <v>97301.849904753602</v>
      </c>
      <c r="AM147" s="702">
        <v>-92.57030475360807</v>
      </c>
      <c r="AN147" s="713"/>
      <c r="AO147" s="714"/>
      <c r="AP147" s="324">
        <v>3.994135902703591</v>
      </c>
      <c r="AQ147" s="324">
        <v>3.6058989272000002</v>
      </c>
      <c r="AR147" s="705">
        <v>0.38823697550359082</v>
      </c>
      <c r="AU147" s="668"/>
      <c r="AW147" s="676"/>
      <c r="AX147" s="668"/>
    </row>
    <row r="148" spans="1:50" ht="15" x14ac:dyDescent="0.25">
      <c r="A148" s="375" t="s">
        <v>701</v>
      </c>
      <c r="B148" s="332"/>
      <c r="C148" s="332" t="s">
        <v>702</v>
      </c>
      <c r="D148" s="376"/>
      <c r="E148" s="707"/>
      <c r="F148" s="377"/>
      <c r="G148" s="695">
        <v>7430</v>
      </c>
      <c r="H148" s="387"/>
      <c r="I148" s="708">
        <v>7430</v>
      </c>
      <c r="J148" s="387" t="s">
        <v>563</v>
      </c>
      <c r="K148" s="389">
        <v>3.6058989272000002</v>
      </c>
      <c r="L148" s="404">
        <v>26792</v>
      </c>
      <c r="M148" s="380"/>
      <c r="N148" s="391">
        <v>521.0526315789474</v>
      </c>
      <c r="O148" s="389">
        <v>0.2036</v>
      </c>
      <c r="P148" s="404">
        <v>4031.28</v>
      </c>
      <c r="Q148" s="380"/>
      <c r="R148" s="392">
        <v>9.473684210526315</v>
      </c>
      <c r="S148" s="389">
        <v>1.7611399999999999</v>
      </c>
      <c r="T148" s="405">
        <v>634.01039999999989</v>
      </c>
      <c r="U148" s="376"/>
      <c r="V148" s="709"/>
      <c r="W148" s="395"/>
      <c r="X148" s="709"/>
      <c r="Y148" s="395"/>
      <c r="Z148" s="709"/>
      <c r="AA148" s="376"/>
      <c r="AB148" s="710"/>
      <c r="AC148" s="711"/>
      <c r="AD148" s="712">
        <v>0</v>
      </c>
      <c r="AE148" s="376"/>
      <c r="AF148" s="392">
        <v>110.26315789473684</v>
      </c>
      <c r="AG148" s="389">
        <v>0.2036</v>
      </c>
      <c r="AH148" s="404">
        <v>853.08399999999995</v>
      </c>
      <c r="AI148" s="376"/>
      <c r="AJ148" s="411">
        <v>32310.374400000001</v>
      </c>
      <c r="AK148" s="385"/>
      <c r="AL148" s="701">
        <v>44321.454135599997</v>
      </c>
      <c r="AM148" s="702">
        <v>-12011.079735599997</v>
      </c>
      <c r="AN148" s="713"/>
      <c r="AO148" s="714"/>
      <c r="AP148" s="324">
        <v>4.3486372005383584</v>
      </c>
      <c r="AQ148" s="324">
        <v>3.6058989272000002</v>
      </c>
      <c r="AR148" s="705">
        <v>0.74273827333835829</v>
      </c>
      <c r="AU148" s="668"/>
      <c r="AW148" s="676"/>
      <c r="AX148" s="668"/>
    </row>
    <row r="149" spans="1:50" ht="15" x14ac:dyDescent="0.25">
      <c r="A149" s="528" t="s">
        <v>703</v>
      </c>
      <c r="B149" s="529" t="s">
        <v>704</v>
      </c>
      <c r="C149" s="529" t="s">
        <v>705</v>
      </c>
      <c r="D149" s="376"/>
      <c r="E149" s="707"/>
      <c r="F149" s="377"/>
      <c r="G149" s="695">
        <v>2592</v>
      </c>
      <c r="H149" s="387"/>
      <c r="I149" s="708">
        <v>2592</v>
      </c>
      <c r="J149" s="387" t="s">
        <v>563</v>
      </c>
      <c r="K149" s="389">
        <v>3.6058989272000002</v>
      </c>
      <c r="L149" s="404">
        <v>9346</v>
      </c>
      <c r="M149" s="380"/>
      <c r="N149" s="391">
        <v>35.05263157894737</v>
      </c>
      <c r="O149" s="389">
        <v>0.2036</v>
      </c>
      <c r="P149" s="404">
        <v>271.1952</v>
      </c>
      <c r="Q149" s="380"/>
      <c r="R149" s="392">
        <v>0</v>
      </c>
      <c r="S149" s="389">
        <v>1.7611399999999999</v>
      </c>
      <c r="T149" s="405">
        <v>0</v>
      </c>
      <c r="U149" s="376"/>
      <c r="V149" s="709"/>
      <c r="W149" s="395"/>
      <c r="X149" s="709"/>
      <c r="Y149" s="395"/>
      <c r="Z149" s="709"/>
      <c r="AA149" s="376"/>
      <c r="AB149" s="710"/>
      <c r="AC149" s="711"/>
      <c r="AD149" s="712">
        <v>0</v>
      </c>
      <c r="AE149" s="376"/>
      <c r="AF149" s="392">
        <v>4.7368421052631575</v>
      </c>
      <c r="AG149" s="389">
        <v>0.2036</v>
      </c>
      <c r="AH149" s="404">
        <v>36.647999999999996</v>
      </c>
      <c r="AI149" s="376"/>
      <c r="AJ149" s="411">
        <v>9653.8431999999993</v>
      </c>
      <c r="AK149" s="385"/>
      <c r="AL149" s="701">
        <v>22962.343279521603</v>
      </c>
      <c r="AM149" s="702">
        <v>-13308.500079521604</v>
      </c>
      <c r="AN149" s="713"/>
      <c r="AO149" s="714"/>
      <c r="AP149" s="324">
        <v>3.7244765432098763</v>
      </c>
      <c r="AQ149" s="324">
        <v>3.6058989272000002</v>
      </c>
      <c r="AR149" s="705">
        <v>0.11857761600987615</v>
      </c>
      <c r="AU149" s="668"/>
      <c r="AW149" s="676"/>
      <c r="AX149" s="668"/>
    </row>
    <row r="150" spans="1:50" ht="15" x14ac:dyDescent="0.25">
      <c r="A150" s="375" t="s">
        <v>706</v>
      </c>
      <c r="B150" s="332" t="s">
        <v>707</v>
      </c>
      <c r="C150" s="332">
        <v>206146</v>
      </c>
      <c r="D150" s="376"/>
      <c r="E150" s="707"/>
      <c r="F150" s="377"/>
      <c r="G150" s="695">
        <v>34572</v>
      </c>
      <c r="H150" s="387"/>
      <c r="I150" s="708">
        <v>34572</v>
      </c>
      <c r="J150" s="387" t="s">
        <v>579</v>
      </c>
      <c r="K150" s="389">
        <v>3.6058989272000002</v>
      </c>
      <c r="L150" s="404">
        <v>124663</v>
      </c>
      <c r="M150" s="380"/>
      <c r="N150" s="391">
        <v>265.42105263157896</v>
      </c>
      <c r="O150" s="389">
        <v>0.2036</v>
      </c>
      <c r="P150" s="404">
        <v>2053.5096000000003</v>
      </c>
      <c r="Q150" s="380"/>
      <c r="R150" s="392">
        <v>0</v>
      </c>
      <c r="S150" s="389">
        <v>1.7611399999999999</v>
      </c>
      <c r="T150" s="405">
        <v>0</v>
      </c>
      <c r="U150" s="376"/>
      <c r="V150" s="709"/>
      <c r="W150" s="395"/>
      <c r="X150" s="709"/>
      <c r="Y150" s="395"/>
      <c r="Z150" s="709"/>
      <c r="AA150" s="376"/>
      <c r="AB150" s="710"/>
      <c r="AC150" s="711"/>
      <c r="AD150" s="712">
        <v>0</v>
      </c>
      <c r="AE150" s="376"/>
      <c r="AF150" s="392">
        <v>30</v>
      </c>
      <c r="AG150" s="389">
        <v>0.2036</v>
      </c>
      <c r="AH150" s="404">
        <v>232.10400000000001</v>
      </c>
      <c r="AI150" s="376"/>
      <c r="AJ150" s="411">
        <v>126948.6136</v>
      </c>
      <c r="AK150" s="385"/>
      <c r="AL150" s="701">
        <v>89966.795582913604</v>
      </c>
      <c r="AM150" s="702">
        <v>36981.818017086393</v>
      </c>
      <c r="AN150" s="713"/>
      <c r="AO150" s="714"/>
      <c r="AP150" s="324">
        <v>3.6720066412125418</v>
      </c>
      <c r="AQ150" s="324">
        <v>3.6058989272000002</v>
      </c>
      <c r="AR150" s="705">
        <v>6.6107714012541674E-2</v>
      </c>
      <c r="AU150" s="668"/>
      <c r="AW150" s="676"/>
      <c r="AX150" s="668"/>
    </row>
    <row r="151" spans="1:50" ht="15" x14ac:dyDescent="0.25">
      <c r="A151" s="375" t="s">
        <v>708</v>
      </c>
      <c r="B151" s="332"/>
      <c r="C151" s="332" t="s">
        <v>709</v>
      </c>
      <c r="D151" s="376"/>
      <c r="E151" s="707"/>
      <c r="F151" s="377"/>
      <c r="G151" s="695">
        <v>7308</v>
      </c>
      <c r="H151" s="387"/>
      <c r="I151" s="708">
        <v>7308</v>
      </c>
      <c r="J151" s="387" t="s">
        <v>563</v>
      </c>
      <c r="K151" s="389">
        <v>3.6058989272000002</v>
      </c>
      <c r="L151" s="404">
        <v>26352</v>
      </c>
      <c r="M151" s="380"/>
      <c r="N151" s="391">
        <v>479.84210526315792</v>
      </c>
      <c r="O151" s="389">
        <v>0.2036</v>
      </c>
      <c r="P151" s="404">
        <v>3712.4424000000004</v>
      </c>
      <c r="Q151" s="380"/>
      <c r="R151" s="392">
        <v>0</v>
      </c>
      <c r="S151" s="389">
        <v>1.7611399999999999</v>
      </c>
      <c r="T151" s="405">
        <v>0</v>
      </c>
      <c r="U151" s="376"/>
      <c r="V151" s="709"/>
      <c r="W151" s="395"/>
      <c r="X151" s="709"/>
      <c r="Y151" s="395"/>
      <c r="Z151" s="709"/>
      <c r="AA151" s="376"/>
      <c r="AB151" s="710"/>
      <c r="AC151" s="711"/>
      <c r="AD151" s="712">
        <v>0</v>
      </c>
      <c r="AE151" s="376"/>
      <c r="AF151" s="392">
        <v>109.73684210526316</v>
      </c>
      <c r="AG151" s="389">
        <v>0.2036</v>
      </c>
      <c r="AH151" s="404">
        <v>849.01199999999994</v>
      </c>
      <c r="AI151" s="376"/>
      <c r="AJ151" s="411">
        <v>30913.454400000002</v>
      </c>
      <c r="AK151" s="385"/>
      <c r="AL151" s="701">
        <v>27971.175933312003</v>
      </c>
      <c r="AM151" s="702">
        <v>2942.2784666879998</v>
      </c>
      <c r="AN151" s="713"/>
      <c r="AO151" s="714"/>
      <c r="AP151" s="324">
        <v>4.23008407224959</v>
      </c>
      <c r="AQ151" s="324">
        <v>3.6058989272000002</v>
      </c>
      <c r="AR151" s="705">
        <v>0.62418514504958988</v>
      </c>
      <c r="AU151" s="668"/>
      <c r="AW151" s="676"/>
      <c r="AX151" s="668"/>
    </row>
    <row r="152" spans="1:50" ht="15" x14ac:dyDescent="0.25">
      <c r="A152" s="535" t="s">
        <v>710</v>
      </c>
      <c r="B152" s="332" t="s">
        <v>711</v>
      </c>
      <c r="C152" s="332" t="s">
        <v>712</v>
      </c>
      <c r="D152" s="376"/>
      <c r="E152" s="707"/>
      <c r="F152" s="377"/>
      <c r="G152" s="695">
        <v>54</v>
      </c>
      <c r="H152" s="387"/>
      <c r="I152" s="708">
        <v>54</v>
      </c>
      <c r="J152" s="387" t="s">
        <v>563</v>
      </c>
      <c r="K152" s="389">
        <v>3.6058989272000002</v>
      </c>
      <c r="L152" s="404">
        <v>195</v>
      </c>
      <c r="M152" s="380"/>
      <c r="N152" s="391">
        <v>4.2631578947368425</v>
      </c>
      <c r="O152" s="389">
        <v>0.2036</v>
      </c>
      <c r="P152" s="404">
        <v>32.983200000000004</v>
      </c>
      <c r="Q152" s="380"/>
      <c r="R152" s="392">
        <v>1.4210526315789473</v>
      </c>
      <c r="S152" s="389">
        <v>1.7611399999999999</v>
      </c>
      <c r="T152" s="405">
        <v>95.101560000000006</v>
      </c>
      <c r="U152" s="376"/>
      <c r="V152" s="709"/>
      <c r="W152" s="395"/>
      <c r="X152" s="709"/>
      <c r="Y152" s="395"/>
      <c r="Z152" s="709"/>
      <c r="AA152" s="376"/>
      <c r="AB152" s="710"/>
      <c r="AC152" s="711"/>
      <c r="AD152" s="712">
        <v>0</v>
      </c>
      <c r="AE152" s="376"/>
      <c r="AF152" s="392">
        <v>0</v>
      </c>
      <c r="AG152" s="389">
        <v>0.2036</v>
      </c>
      <c r="AH152" s="404">
        <v>0</v>
      </c>
      <c r="AI152" s="376"/>
      <c r="AJ152" s="411">
        <v>323.08476000000002</v>
      </c>
      <c r="AK152" s="385"/>
      <c r="AL152" s="701">
        <v>0</v>
      </c>
      <c r="AM152" s="702">
        <v>323.08476000000002</v>
      </c>
      <c r="AN152" s="713"/>
      <c r="AO152" s="714"/>
      <c r="AP152" s="324">
        <v>5.9830511111111111</v>
      </c>
      <c r="AQ152" s="324">
        <v>3.6058989272000002</v>
      </c>
      <c r="AR152" s="705">
        <v>2.3771521839111109</v>
      </c>
      <c r="AU152" s="668"/>
      <c r="AW152" s="676"/>
      <c r="AX152" s="668"/>
    </row>
    <row r="153" spans="1:50" ht="15" x14ac:dyDescent="0.25">
      <c r="A153" s="718" t="s">
        <v>713</v>
      </c>
      <c r="B153" s="331" t="s">
        <v>711</v>
      </c>
      <c r="C153" s="719" t="s">
        <v>714</v>
      </c>
      <c r="D153" s="376"/>
      <c r="E153" s="707"/>
      <c r="F153" s="377"/>
      <c r="G153" s="695">
        <v>525</v>
      </c>
      <c r="H153" s="387"/>
      <c r="I153" s="708">
        <v>525</v>
      </c>
      <c r="J153" s="387" t="s">
        <v>563</v>
      </c>
      <c r="K153" s="389">
        <v>3.6058989272000002</v>
      </c>
      <c r="L153" s="404">
        <v>1893</v>
      </c>
      <c r="M153" s="380"/>
      <c r="N153" s="391">
        <v>27.631578947368421</v>
      </c>
      <c r="O153" s="389">
        <v>0.2036</v>
      </c>
      <c r="P153" s="404">
        <v>213.78</v>
      </c>
      <c r="Q153" s="380"/>
      <c r="R153" s="392">
        <v>0</v>
      </c>
      <c r="S153" s="389">
        <v>1.7611399999999999</v>
      </c>
      <c r="T153" s="405">
        <v>0</v>
      </c>
      <c r="U153" s="376"/>
      <c r="V153" s="709"/>
      <c r="W153" s="395"/>
      <c r="X153" s="709"/>
      <c r="Y153" s="395"/>
      <c r="Z153" s="709"/>
      <c r="AA153" s="376"/>
      <c r="AB153" s="710"/>
      <c r="AC153" s="711"/>
      <c r="AD153" s="712">
        <v>0</v>
      </c>
      <c r="AE153" s="376"/>
      <c r="AF153" s="392">
        <v>0</v>
      </c>
      <c r="AG153" s="389">
        <v>0.2036</v>
      </c>
      <c r="AH153" s="404">
        <v>0</v>
      </c>
      <c r="AI153" s="376"/>
      <c r="AJ153" s="411">
        <v>2106.7800000000002</v>
      </c>
      <c r="AK153" s="385"/>
      <c r="AL153" s="701">
        <v>0</v>
      </c>
      <c r="AM153" s="702">
        <v>2106.7800000000002</v>
      </c>
      <c r="AN153" s="713"/>
      <c r="AO153" s="714"/>
      <c r="AP153" s="324">
        <v>4.0129142857142863</v>
      </c>
      <c r="AQ153" s="324">
        <v>3.6058989272000002</v>
      </c>
      <c r="AR153" s="705">
        <v>0.40701535851428616</v>
      </c>
      <c r="AU153" s="668"/>
      <c r="AW153" s="676"/>
      <c r="AX153" s="668"/>
    </row>
    <row r="154" spans="1:50" ht="15" x14ac:dyDescent="0.25">
      <c r="A154" s="375" t="s">
        <v>715</v>
      </c>
      <c r="B154" s="332" t="s">
        <v>711</v>
      </c>
      <c r="C154" s="332" t="s">
        <v>716</v>
      </c>
      <c r="D154" s="376"/>
      <c r="E154" s="707"/>
      <c r="F154" s="377"/>
      <c r="G154" s="695">
        <v>13392</v>
      </c>
      <c r="H154" s="387"/>
      <c r="I154" s="708">
        <v>13392</v>
      </c>
      <c r="J154" s="387" t="s">
        <v>563</v>
      </c>
      <c r="K154" s="389">
        <v>3.6058989272000002</v>
      </c>
      <c r="L154" s="404">
        <v>48290</v>
      </c>
      <c r="M154" s="380"/>
      <c r="N154" s="391">
        <v>644.84210526315792</v>
      </c>
      <c r="O154" s="389">
        <v>0.2036</v>
      </c>
      <c r="P154" s="404">
        <v>4989.0144</v>
      </c>
      <c r="Q154" s="380"/>
      <c r="R154" s="392">
        <v>0</v>
      </c>
      <c r="S154" s="389">
        <v>1.7611399999999999</v>
      </c>
      <c r="T154" s="405">
        <v>0</v>
      </c>
      <c r="U154" s="376"/>
      <c r="V154" s="709"/>
      <c r="W154" s="395"/>
      <c r="X154" s="709"/>
      <c r="Y154" s="395"/>
      <c r="Z154" s="709"/>
      <c r="AA154" s="376"/>
      <c r="AB154" s="710"/>
      <c r="AC154" s="711"/>
      <c r="AD154" s="712">
        <v>0</v>
      </c>
      <c r="AE154" s="376"/>
      <c r="AF154" s="392">
        <v>23.684210526315791</v>
      </c>
      <c r="AG154" s="389">
        <v>0.2036</v>
      </c>
      <c r="AH154" s="404">
        <v>183.24</v>
      </c>
      <c r="AI154" s="376"/>
      <c r="AJ154" s="411">
        <v>53462.254399999998</v>
      </c>
      <c r="AK154" s="385"/>
      <c r="AL154" s="701">
        <v>57705.355570531203</v>
      </c>
      <c r="AM154" s="702">
        <v>-4243.1011705312048</v>
      </c>
      <c r="AN154" s="713"/>
      <c r="AO154" s="714"/>
      <c r="AP154" s="324">
        <v>3.9921038231780166</v>
      </c>
      <c r="AQ154" s="324">
        <v>3.6058989272000002</v>
      </c>
      <c r="AR154" s="705">
        <v>0.38620489597801644</v>
      </c>
      <c r="AU154" s="668"/>
      <c r="AW154" s="676"/>
      <c r="AX154" s="668"/>
    </row>
    <row r="155" spans="1:50" ht="15" x14ac:dyDescent="0.25">
      <c r="A155" s="332" t="s">
        <v>717</v>
      </c>
      <c r="B155" s="332" t="s">
        <v>718</v>
      </c>
      <c r="C155" s="332" t="s">
        <v>719</v>
      </c>
      <c r="D155" s="376"/>
      <c r="E155" s="707"/>
      <c r="F155" s="377"/>
      <c r="G155" s="695">
        <v>11466</v>
      </c>
      <c r="H155" s="387"/>
      <c r="I155" s="708">
        <v>11466</v>
      </c>
      <c r="J155" s="387" t="s">
        <v>563</v>
      </c>
      <c r="K155" s="389">
        <v>3.6058989272000002</v>
      </c>
      <c r="L155" s="404">
        <v>41345</v>
      </c>
      <c r="M155" s="380"/>
      <c r="N155" s="391">
        <v>241.26315789473688</v>
      </c>
      <c r="O155" s="389">
        <v>0.2036</v>
      </c>
      <c r="P155" s="404">
        <v>1866.6048000000003</v>
      </c>
      <c r="Q155" s="380"/>
      <c r="R155" s="392">
        <v>4.7368421052631575</v>
      </c>
      <c r="S155" s="389">
        <v>1.7611399999999999</v>
      </c>
      <c r="T155" s="405">
        <v>317.00519999999995</v>
      </c>
      <c r="U155" s="376"/>
      <c r="V155" s="709"/>
      <c r="W155" s="395"/>
      <c r="X155" s="709"/>
      <c r="Y155" s="395"/>
      <c r="Z155" s="709"/>
      <c r="AA155" s="376"/>
      <c r="AB155" s="710"/>
      <c r="AC155" s="711"/>
      <c r="AD155" s="712">
        <v>0</v>
      </c>
      <c r="AE155" s="376"/>
      <c r="AF155" s="392">
        <v>4.7368421052631575</v>
      </c>
      <c r="AG155" s="389">
        <v>0.2036</v>
      </c>
      <c r="AH155" s="404">
        <v>36.647999999999996</v>
      </c>
      <c r="AI155" s="376"/>
      <c r="AJ155" s="411">
        <v>43565.258000000002</v>
      </c>
      <c r="AK155" s="385"/>
      <c r="AL155" s="701">
        <v>53174.380580800003</v>
      </c>
      <c r="AM155" s="702">
        <v>-9609.1225808000017</v>
      </c>
      <c r="AN155" s="713"/>
      <c r="AO155" s="714"/>
      <c r="AP155" s="324">
        <v>3.7995166579452295</v>
      </c>
      <c r="AQ155" s="324">
        <v>3.6058989272000002</v>
      </c>
      <c r="AR155" s="705">
        <v>0.19361773074522937</v>
      </c>
      <c r="AU155" s="668"/>
      <c r="AW155" s="676"/>
      <c r="AX155" s="668"/>
    </row>
    <row r="156" spans="1:50" ht="15" x14ac:dyDescent="0.25">
      <c r="A156" s="332" t="s">
        <v>720</v>
      </c>
      <c r="B156" s="332"/>
      <c r="C156" s="332" t="s">
        <v>721</v>
      </c>
      <c r="D156" s="376"/>
      <c r="E156" s="707"/>
      <c r="F156" s="377"/>
      <c r="G156" s="695">
        <v>20280</v>
      </c>
      <c r="H156" s="387"/>
      <c r="I156" s="708">
        <v>20280</v>
      </c>
      <c r="J156" s="387" t="s">
        <v>563</v>
      </c>
      <c r="K156" s="389">
        <v>3.6058989272000002</v>
      </c>
      <c r="L156" s="404">
        <v>73128</v>
      </c>
      <c r="M156" s="380"/>
      <c r="N156" s="391">
        <v>1356.3157894736842</v>
      </c>
      <c r="O156" s="389">
        <v>0.2036</v>
      </c>
      <c r="P156" s="404">
        <v>10493.544</v>
      </c>
      <c r="Q156" s="380"/>
      <c r="R156" s="392">
        <v>54.473684210526315</v>
      </c>
      <c r="S156" s="389">
        <v>1.7611399999999999</v>
      </c>
      <c r="T156" s="405">
        <v>3645.5597999999995</v>
      </c>
      <c r="U156" s="376"/>
      <c r="V156" s="709"/>
      <c r="W156" s="395"/>
      <c r="X156" s="709"/>
      <c r="Y156" s="395"/>
      <c r="Z156" s="709"/>
      <c r="AA156" s="376"/>
      <c r="AB156" s="710"/>
      <c r="AC156" s="711"/>
      <c r="AD156" s="712">
        <v>0</v>
      </c>
      <c r="AE156" s="376"/>
      <c r="AF156" s="392">
        <v>131.84210526315789</v>
      </c>
      <c r="AG156" s="389">
        <v>0.2036</v>
      </c>
      <c r="AH156" s="404">
        <v>1020.0359999999999</v>
      </c>
      <c r="AI156" s="376"/>
      <c r="AJ156" s="411">
        <v>88287.139800000004</v>
      </c>
      <c r="AK156" s="385"/>
      <c r="AL156" s="701">
        <v>95274.492505680013</v>
      </c>
      <c r="AM156" s="702">
        <v>-6987.3527056800085</v>
      </c>
      <c r="AN156" s="713"/>
      <c r="AO156" s="714"/>
      <c r="AP156" s="324">
        <v>4.3534092603550301</v>
      </c>
      <c r="AQ156" s="324">
        <v>3.6058989272000002</v>
      </c>
      <c r="AR156" s="705">
        <v>0.7475103331550299</v>
      </c>
      <c r="AU156" s="668"/>
      <c r="AW156" s="676"/>
      <c r="AX156" s="668"/>
    </row>
    <row r="157" spans="1:50" ht="15" x14ac:dyDescent="0.25">
      <c r="A157" s="332" t="s">
        <v>722</v>
      </c>
      <c r="B157" s="332" t="s">
        <v>723</v>
      </c>
      <c r="C157" s="332">
        <v>113044</v>
      </c>
      <c r="D157" s="376"/>
      <c r="E157" s="707"/>
      <c r="F157" s="377"/>
      <c r="G157" s="695">
        <v>6162</v>
      </c>
      <c r="H157" s="387"/>
      <c r="I157" s="708">
        <v>6162</v>
      </c>
      <c r="J157" s="387" t="s">
        <v>579</v>
      </c>
      <c r="K157" s="389">
        <v>3.6058989272000002</v>
      </c>
      <c r="L157" s="404">
        <v>22220</v>
      </c>
      <c r="M157" s="380"/>
      <c r="N157" s="391">
        <v>159.4736842105263</v>
      </c>
      <c r="O157" s="389">
        <v>0.2036</v>
      </c>
      <c r="P157" s="404">
        <v>1233.816</v>
      </c>
      <c r="Q157" s="380"/>
      <c r="R157" s="392">
        <v>4.7368421052631575</v>
      </c>
      <c r="S157" s="389">
        <v>1.7611399999999999</v>
      </c>
      <c r="T157" s="405">
        <v>317.00519999999995</v>
      </c>
      <c r="U157" s="376"/>
      <c r="V157" s="709"/>
      <c r="W157" s="395"/>
      <c r="X157" s="709"/>
      <c r="Y157" s="395"/>
      <c r="Z157" s="709"/>
      <c r="AA157" s="376"/>
      <c r="AB157" s="710"/>
      <c r="AC157" s="711"/>
      <c r="AD157" s="712">
        <v>0</v>
      </c>
      <c r="AE157" s="376"/>
      <c r="AF157" s="392">
        <v>132.94736842105263</v>
      </c>
      <c r="AG157" s="389">
        <v>0.2036</v>
      </c>
      <c r="AH157" s="404">
        <v>1028.5871999999999</v>
      </c>
      <c r="AI157" s="376"/>
      <c r="AJ157" s="411">
        <v>24799.4084</v>
      </c>
      <c r="AK157" s="385"/>
      <c r="AL157" s="701">
        <v>34972.094212231998</v>
      </c>
      <c r="AM157" s="702">
        <v>-10172.685812231997</v>
      </c>
      <c r="AN157" s="713"/>
      <c r="AO157" s="714"/>
      <c r="AP157" s="324">
        <v>4.0245713080168777</v>
      </c>
      <c r="AQ157" s="324">
        <v>3.6058989272000002</v>
      </c>
      <c r="AR157" s="705">
        <v>0.41867238081687752</v>
      </c>
      <c r="AU157" s="668"/>
      <c r="AW157" s="676"/>
      <c r="AX157" s="668"/>
    </row>
    <row r="158" spans="1:50" ht="15" x14ac:dyDescent="0.25">
      <c r="A158" s="332" t="s">
        <v>724</v>
      </c>
      <c r="B158" s="332" t="s">
        <v>725</v>
      </c>
      <c r="C158" s="332" t="s">
        <v>726</v>
      </c>
      <c r="D158" s="376"/>
      <c r="E158" s="707"/>
      <c r="F158" s="377"/>
      <c r="G158" s="695">
        <v>20188</v>
      </c>
      <c r="H158" s="387"/>
      <c r="I158" s="708">
        <v>20188</v>
      </c>
      <c r="J158" s="387" t="s">
        <v>563</v>
      </c>
      <c r="K158" s="389">
        <v>3.6058989272000002</v>
      </c>
      <c r="L158" s="404">
        <v>72796</v>
      </c>
      <c r="M158" s="380"/>
      <c r="N158" s="391">
        <v>443.78947368421052</v>
      </c>
      <c r="O158" s="389">
        <v>0.2036</v>
      </c>
      <c r="P158" s="404">
        <v>3433.5104000000001</v>
      </c>
      <c r="Q158" s="380"/>
      <c r="R158" s="392">
        <v>30</v>
      </c>
      <c r="S158" s="389">
        <v>1.7611399999999999</v>
      </c>
      <c r="T158" s="405">
        <v>2007.6995999999999</v>
      </c>
      <c r="U158" s="376"/>
      <c r="V158" s="709"/>
      <c r="W158" s="395"/>
      <c r="X158" s="709"/>
      <c r="Y158" s="395"/>
      <c r="Z158" s="709"/>
      <c r="AA158" s="376"/>
      <c r="AB158" s="710"/>
      <c r="AC158" s="711"/>
      <c r="AD158" s="712">
        <v>0</v>
      </c>
      <c r="AE158" s="376"/>
      <c r="AF158" s="392">
        <v>0</v>
      </c>
      <c r="AG158" s="389">
        <v>0.2036</v>
      </c>
      <c r="AH158" s="404">
        <v>0</v>
      </c>
      <c r="AI158" s="376"/>
      <c r="AJ158" s="411">
        <v>78237.210000000006</v>
      </c>
      <c r="AK158" s="385"/>
      <c r="AL158" s="701">
        <v>56694.179197656005</v>
      </c>
      <c r="AM158" s="702">
        <v>21543.030802344001</v>
      </c>
      <c r="AN158" s="713"/>
      <c r="AO158" s="714"/>
      <c r="AP158" s="324">
        <v>3.8754314444224294</v>
      </c>
      <c r="AQ158" s="324">
        <v>3.6058989272000002</v>
      </c>
      <c r="AR158" s="705">
        <v>0.26953251722242921</v>
      </c>
      <c r="AU158" s="668"/>
      <c r="AW158" s="676"/>
      <c r="AX158" s="668"/>
    </row>
    <row r="159" spans="1:50" ht="15" x14ac:dyDescent="0.25">
      <c r="A159" s="332" t="s">
        <v>1131</v>
      </c>
      <c r="B159" s="332"/>
      <c r="C159" s="332" t="s">
        <v>1132</v>
      </c>
      <c r="D159" s="376"/>
      <c r="E159" s="707"/>
      <c r="F159" s="377"/>
      <c r="G159" s="695">
        <v>900</v>
      </c>
      <c r="H159" s="387"/>
      <c r="I159" s="708">
        <v>900</v>
      </c>
      <c r="J159" s="387"/>
      <c r="K159" s="389">
        <v>3.6058989272000002</v>
      </c>
      <c r="L159" s="404">
        <v>3245</v>
      </c>
      <c r="M159" s="380"/>
      <c r="N159" s="391">
        <v>42.631578947368425</v>
      </c>
      <c r="O159" s="389">
        <v>0.2036</v>
      </c>
      <c r="P159" s="404">
        <v>329.83200000000005</v>
      </c>
      <c r="Q159" s="380"/>
      <c r="R159" s="392">
        <v>4.7368421052631575</v>
      </c>
      <c r="S159" s="389">
        <v>1.7611399999999999</v>
      </c>
      <c r="T159" s="405">
        <v>317.00519999999995</v>
      </c>
      <c r="U159" s="376"/>
      <c r="V159" s="709"/>
      <c r="W159" s="395"/>
      <c r="X159" s="709"/>
      <c r="Y159" s="395"/>
      <c r="Z159" s="709"/>
      <c r="AA159" s="376"/>
      <c r="AB159" s="710"/>
      <c r="AC159" s="711"/>
      <c r="AD159" s="712"/>
      <c r="AE159" s="376"/>
      <c r="AF159" s="392">
        <v>0</v>
      </c>
      <c r="AG159" s="389">
        <v>0.2036</v>
      </c>
      <c r="AH159" s="404">
        <v>0</v>
      </c>
      <c r="AI159" s="376"/>
      <c r="AJ159" s="411">
        <v>3891.8371999999999</v>
      </c>
      <c r="AK159" s="385"/>
      <c r="AL159" s="701">
        <v>0</v>
      </c>
      <c r="AM159" s="702">
        <v>3891.8371999999999</v>
      </c>
      <c r="AN159" s="713"/>
      <c r="AO159" s="714"/>
      <c r="AP159" s="324">
        <v>4.3242635555555555</v>
      </c>
      <c r="AQ159" s="324">
        <v>3.6058989272000002</v>
      </c>
      <c r="AR159" s="705">
        <v>0.71836462835555537</v>
      </c>
      <c r="AU159" s="668"/>
      <c r="AW159" s="676"/>
      <c r="AX159" s="668"/>
    </row>
    <row r="160" spans="1:50" ht="15" x14ac:dyDescent="0.25">
      <c r="A160" s="332" t="s">
        <v>727</v>
      </c>
      <c r="B160" s="332" t="s">
        <v>728</v>
      </c>
      <c r="C160" s="332" t="s">
        <v>729</v>
      </c>
      <c r="D160" s="376"/>
      <c r="E160" s="707"/>
      <c r="F160" s="377"/>
      <c r="G160" s="695">
        <v>4716</v>
      </c>
      <c r="H160" s="387"/>
      <c r="I160" s="708">
        <v>4716</v>
      </c>
      <c r="J160" s="387" t="s">
        <v>579</v>
      </c>
      <c r="K160" s="389">
        <v>3.6058989272000002</v>
      </c>
      <c r="L160" s="404">
        <v>17005</v>
      </c>
      <c r="M160" s="380"/>
      <c r="N160" s="391">
        <v>227.36842105263162</v>
      </c>
      <c r="O160" s="389">
        <v>0.2036</v>
      </c>
      <c r="P160" s="404">
        <v>1759.1040000000003</v>
      </c>
      <c r="Q160" s="380"/>
      <c r="R160" s="392">
        <v>9.473684210526315</v>
      </c>
      <c r="S160" s="389">
        <v>1.7611399999999999</v>
      </c>
      <c r="T160" s="405">
        <v>634.01039999999989</v>
      </c>
      <c r="U160" s="376"/>
      <c r="V160" s="709"/>
      <c r="W160" s="395"/>
      <c r="X160" s="709"/>
      <c r="Y160" s="395"/>
      <c r="Z160" s="709"/>
      <c r="AA160" s="376"/>
      <c r="AB160" s="710"/>
      <c r="AC160" s="711"/>
      <c r="AD160" s="712">
        <v>0</v>
      </c>
      <c r="AE160" s="376"/>
      <c r="AF160" s="392">
        <v>0</v>
      </c>
      <c r="AG160" s="389">
        <v>0.2036</v>
      </c>
      <c r="AH160" s="404">
        <v>0</v>
      </c>
      <c r="AI160" s="376"/>
      <c r="AJ160" s="411">
        <v>19398.114399999999</v>
      </c>
      <c r="AK160" s="385"/>
      <c r="AL160" s="701">
        <v>25135.0385192904</v>
      </c>
      <c r="AM160" s="702">
        <v>-5736.924119290401</v>
      </c>
      <c r="AN160" s="713"/>
      <c r="AO160" s="714"/>
      <c r="AP160" s="324">
        <v>4.1132558100084813</v>
      </c>
      <c r="AQ160" s="324">
        <v>3.6058989272000002</v>
      </c>
      <c r="AR160" s="705">
        <v>0.50735688280848112</v>
      </c>
      <c r="AU160" s="668"/>
      <c r="AW160" s="676"/>
      <c r="AX160" s="668"/>
    </row>
    <row r="161" spans="1:61" ht="15" x14ac:dyDescent="0.25">
      <c r="A161" s="331" t="s">
        <v>730</v>
      </c>
      <c r="B161" s="331" t="s">
        <v>731</v>
      </c>
      <c r="C161" s="722" t="s">
        <v>732</v>
      </c>
      <c r="D161" s="376"/>
      <c r="E161" s="707"/>
      <c r="F161" s="377"/>
      <c r="G161" s="695">
        <v>18030</v>
      </c>
      <c r="H161" s="387"/>
      <c r="I161" s="708">
        <v>18030</v>
      </c>
      <c r="J161" s="387" t="s">
        <v>563</v>
      </c>
      <c r="K161" s="389">
        <v>3.6058989272000002</v>
      </c>
      <c r="L161" s="404">
        <v>65014</v>
      </c>
      <c r="M161" s="380"/>
      <c r="N161" s="391">
        <v>541.73684210526312</v>
      </c>
      <c r="O161" s="389">
        <v>0.2036</v>
      </c>
      <c r="P161" s="404">
        <v>4191.3095999999996</v>
      </c>
      <c r="Q161" s="380"/>
      <c r="R161" s="392">
        <v>29.210526315789473</v>
      </c>
      <c r="S161" s="389">
        <v>1.7611399999999999</v>
      </c>
      <c r="T161" s="405">
        <v>1954.8653999999999</v>
      </c>
      <c r="U161" s="376"/>
      <c r="V161" s="709"/>
      <c r="W161" s="395"/>
      <c r="X161" s="709"/>
      <c r="Y161" s="395"/>
      <c r="Z161" s="709"/>
      <c r="AA161" s="376"/>
      <c r="AB161" s="710"/>
      <c r="AC161" s="711"/>
      <c r="AD161" s="712">
        <v>0</v>
      </c>
      <c r="AE161" s="376"/>
      <c r="AF161" s="392">
        <v>4.7368421052631575</v>
      </c>
      <c r="AG161" s="389">
        <v>0.2036</v>
      </c>
      <c r="AH161" s="404">
        <v>36.647999999999996</v>
      </c>
      <c r="AI161" s="376"/>
      <c r="AJ161" s="411">
        <v>71196.823000000004</v>
      </c>
      <c r="AK161" s="385"/>
      <c r="AL161" s="701">
        <v>50719.664639040006</v>
      </c>
      <c r="AM161" s="702">
        <v>20477.158360959998</v>
      </c>
      <c r="AN161" s="713"/>
      <c r="AO161" s="714"/>
      <c r="AP161" s="324">
        <v>3.9487977260122022</v>
      </c>
      <c r="AQ161" s="324">
        <v>3.6058989272000002</v>
      </c>
      <c r="AR161" s="705">
        <v>0.34289879881220209</v>
      </c>
      <c r="AU161" s="668"/>
      <c r="AW161" s="676"/>
      <c r="AX161" s="668"/>
    </row>
    <row r="162" spans="1:61" ht="15" x14ac:dyDescent="0.25">
      <c r="A162" s="536" t="s">
        <v>733</v>
      </c>
      <c r="B162" s="331" t="s">
        <v>734</v>
      </c>
      <c r="C162" s="537" t="s">
        <v>735</v>
      </c>
      <c r="D162" s="376"/>
      <c r="E162" s="707"/>
      <c r="F162" s="377"/>
      <c r="G162" s="695">
        <v>25026</v>
      </c>
      <c r="H162" s="387"/>
      <c r="I162" s="708">
        <v>25026</v>
      </c>
      <c r="J162" s="387" t="s">
        <v>563</v>
      </c>
      <c r="K162" s="389">
        <v>3.6058989272000002</v>
      </c>
      <c r="L162" s="404">
        <v>90241</v>
      </c>
      <c r="M162" s="380"/>
      <c r="N162" s="391">
        <v>1428.6315789473683</v>
      </c>
      <c r="O162" s="389">
        <v>0.2036</v>
      </c>
      <c r="P162" s="404">
        <v>11053.036799999998</v>
      </c>
      <c r="Q162" s="380"/>
      <c r="R162" s="392">
        <v>9.473684210526315</v>
      </c>
      <c r="S162" s="389">
        <v>1.7611399999999999</v>
      </c>
      <c r="T162" s="405">
        <v>634.01039999999989</v>
      </c>
      <c r="U162" s="376"/>
      <c r="V162" s="709"/>
      <c r="W162" s="395"/>
      <c r="X162" s="709"/>
      <c r="Y162" s="395"/>
      <c r="Z162" s="709"/>
      <c r="AA162" s="376"/>
      <c r="AB162" s="710"/>
      <c r="AC162" s="711"/>
      <c r="AD162" s="712">
        <v>0</v>
      </c>
      <c r="AE162" s="376"/>
      <c r="AF162" s="392">
        <v>71.05263157894737</v>
      </c>
      <c r="AG162" s="389">
        <v>0.2036</v>
      </c>
      <c r="AH162" s="404">
        <v>549.72</v>
      </c>
      <c r="AI162" s="376"/>
      <c r="AJ162" s="411">
        <v>102477.7672</v>
      </c>
      <c r="AK162" s="385"/>
      <c r="AL162" s="701">
        <v>71384.291817417601</v>
      </c>
      <c r="AM162" s="702">
        <v>31093.475382582401</v>
      </c>
      <c r="AN162" s="713"/>
      <c r="AO162" s="714"/>
      <c r="AP162" s="324">
        <v>4.0948520418764485</v>
      </c>
      <c r="AQ162" s="324">
        <v>3.6058989272000002</v>
      </c>
      <c r="AR162" s="705">
        <v>0.48895311467644831</v>
      </c>
      <c r="AU162" s="668"/>
      <c r="AW162" s="676"/>
      <c r="AX162" s="668"/>
    </row>
    <row r="163" spans="1:61" ht="15" x14ac:dyDescent="0.25">
      <c r="A163" s="530" t="s">
        <v>736</v>
      </c>
      <c r="B163" s="725"/>
      <c r="C163" s="725" t="s">
        <v>737</v>
      </c>
      <c r="D163" s="376"/>
      <c r="E163" s="707"/>
      <c r="F163" s="377"/>
      <c r="G163" s="695">
        <v>11172</v>
      </c>
      <c r="H163" s="387"/>
      <c r="I163" s="708">
        <v>11172</v>
      </c>
      <c r="J163" s="387" t="s">
        <v>563</v>
      </c>
      <c r="K163" s="389">
        <v>3.6058989272000002</v>
      </c>
      <c r="L163" s="404">
        <v>40285</v>
      </c>
      <c r="M163" s="380"/>
      <c r="N163" s="391">
        <v>672.78947368421052</v>
      </c>
      <c r="O163" s="389">
        <v>0.2036</v>
      </c>
      <c r="P163" s="404">
        <v>5205.2376000000004</v>
      </c>
      <c r="Q163" s="380"/>
      <c r="R163" s="392">
        <v>19.736842105263158</v>
      </c>
      <c r="S163" s="389">
        <v>1.7611399999999999</v>
      </c>
      <c r="T163" s="405">
        <v>1320.855</v>
      </c>
      <c r="U163" s="376"/>
      <c r="V163" s="709"/>
      <c r="W163" s="395"/>
      <c r="X163" s="709"/>
      <c r="Y163" s="395"/>
      <c r="Z163" s="709"/>
      <c r="AA163" s="376"/>
      <c r="AB163" s="710"/>
      <c r="AC163" s="711"/>
      <c r="AD163" s="712">
        <v>0</v>
      </c>
      <c r="AE163" s="376"/>
      <c r="AF163" s="392">
        <v>15</v>
      </c>
      <c r="AG163" s="389">
        <v>0.2036</v>
      </c>
      <c r="AH163" s="404">
        <v>116.05200000000001</v>
      </c>
      <c r="AI163" s="376"/>
      <c r="AJ163" s="411">
        <v>46927.1446</v>
      </c>
      <c r="AK163" s="385"/>
      <c r="AL163" s="701">
        <v>9014.7473179999997</v>
      </c>
      <c r="AM163" s="702">
        <v>37912.397281999998</v>
      </c>
      <c r="AN163" s="713"/>
      <c r="AO163" s="714"/>
      <c r="AP163" s="324">
        <v>4.2004246867167918</v>
      </c>
      <c r="AQ163" s="324">
        <v>3.6058989272000002</v>
      </c>
      <c r="AR163" s="705">
        <v>0.59452575951679165</v>
      </c>
      <c r="AU163" s="668"/>
      <c r="AW163" s="676"/>
      <c r="AX163" s="668"/>
    </row>
    <row r="164" spans="1:61" ht="15" x14ac:dyDescent="0.25">
      <c r="A164" s="375" t="s">
        <v>738</v>
      </c>
      <c r="B164" s="332" t="s">
        <v>739</v>
      </c>
      <c r="C164" s="332">
        <v>206152</v>
      </c>
      <c r="D164" s="376"/>
      <c r="E164" s="726"/>
      <c r="F164" s="354"/>
      <c r="G164" s="695">
        <v>24792</v>
      </c>
      <c r="H164" s="419"/>
      <c r="I164" s="727">
        <v>24792</v>
      </c>
      <c r="J164" s="419" t="s">
        <v>579</v>
      </c>
      <c r="K164" s="389">
        <v>3.6058989272000002</v>
      </c>
      <c r="L164" s="420">
        <v>89397</v>
      </c>
      <c r="M164" s="380"/>
      <c r="N164" s="391">
        <v>457.10526315789474</v>
      </c>
      <c r="O164" s="389">
        <v>0.2036</v>
      </c>
      <c r="P164" s="420">
        <v>3536.5319999999997</v>
      </c>
      <c r="Q164" s="380"/>
      <c r="R164" s="392">
        <v>0</v>
      </c>
      <c r="S164" s="389">
        <v>1.7611399999999999</v>
      </c>
      <c r="T164" s="421">
        <v>0</v>
      </c>
      <c r="U164" s="376"/>
      <c r="V164" s="728"/>
      <c r="W164" s="395"/>
      <c r="X164" s="728"/>
      <c r="Y164" s="395"/>
      <c r="Z164" s="728"/>
      <c r="AA164" s="376"/>
      <c r="AB164" s="729"/>
      <c r="AC164" s="730"/>
      <c r="AD164" s="731">
        <v>0</v>
      </c>
      <c r="AE164" s="376"/>
      <c r="AF164" s="392">
        <v>154.10526315789474</v>
      </c>
      <c r="AG164" s="389">
        <v>0.2036</v>
      </c>
      <c r="AH164" s="420">
        <v>1192.2816</v>
      </c>
      <c r="AI164" s="376"/>
      <c r="AJ164" s="427">
        <v>94125.813599999994</v>
      </c>
      <c r="AK164" s="385"/>
      <c r="AL164" s="701">
        <v>77611.827649593601</v>
      </c>
      <c r="AM164" s="702">
        <v>16513.985950406393</v>
      </c>
      <c r="AN164" s="732"/>
      <c r="AO164" s="733"/>
      <c r="AP164" s="324">
        <v>3.7966204259438525</v>
      </c>
      <c r="AQ164" s="324">
        <v>3.6058989272000002</v>
      </c>
      <c r="AR164" s="705">
        <v>0.19072149874385236</v>
      </c>
      <c r="AU164" s="668"/>
      <c r="AW164" s="676"/>
      <c r="AX164" s="668"/>
    </row>
    <row r="165" spans="1:61" x14ac:dyDescent="0.2">
      <c r="A165" s="375" t="s">
        <v>740</v>
      </c>
      <c r="B165" s="332" t="s">
        <v>741</v>
      </c>
      <c r="C165" s="332">
        <v>206153</v>
      </c>
      <c r="D165" s="376"/>
      <c r="E165" s="377"/>
      <c r="F165" s="377"/>
      <c r="G165" s="691">
        <v>5046</v>
      </c>
      <c r="H165" s="377"/>
      <c r="I165" s="378">
        <v>5046</v>
      </c>
      <c r="J165" s="377" t="s">
        <v>579</v>
      </c>
      <c r="K165" s="377">
        <v>3.6058989272000002</v>
      </c>
      <c r="L165" s="379">
        <v>18195</v>
      </c>
      <c r="M165" s="380"/>
      <c r="N165" s="734">
        <v>10.263157894736842</v>
      </c>
      <c r="O165" s="377">
        <v>0.2036</v>
      </c>
      <c r="P165" s="379">
        <v>79.403999999999996</v>
      </c>
      <c r="Q165" s="735"/>
      <c r="R165" s="736">
        <v>0</v>
      </c>
      <c r="S165" s="377">
        <v>1.7611399999999999</v>
      </c>
      <c r="T165" s="381">
        <v>0</v>
      </c>
      <c r="U165" s="376"/>
      <c r="V165" s="429"/>
      <c r="W165" s="395"/>
      <c r="X165" s="429"/>
      <c r="Y165" s="395"/>
      <c r="Z165" s="429"/>
      <c r="AA165" s="376"/>
      <c r="AB165" s="377"/>
      <c r="AC165" s="377"/>
      <c r="AD165" s="737">
        <v>0</v>
      </c>
      <c r="AE165" s="376"/>
      <c r="AF165" s="734">
        <v>0</v>
      </c>
      <c r="AG165" s="377">
        <v>0.2036</v>
      </c>
      <c r="AH165" s="379">
        <v>0</v>
      </c>
      <c r="AI165" s="376"/>
      <c r="AJ165" s="379">
        <v>18274.403999999999</v>
      </c>
      <c r="AK165" s="675"/>
      <c r="AL165" s="668">
        <v>36976.811934681602</v>
      </c>
      <c r="AM165" s="668">
        <v>-18702.407934681603</v>
      </c>
      <c r="AO165" s="692"/>
      <c r="AP165" s="324">
        <v>3.6215624256837096</v>
      </c>
      <c r="AQ165" s="324">
        <v>3.6058989272000002</v>
      </c>
      <c r="AR165" s="324">
        <v>1.5663498483709404E-2</v>
      </c>
      <c r="AW165" s="676"/>
    </row>
    <row r="166" spans="1:61" s="444" customFormat="1" ht="15" x14ac:dyDescent="0.25">
      <c r="A166" s="738" t="s">
        <v>742</v>
      </c>
      <c r="B166" s="739" t="s">
        <v>743</v>
      </c>
      <c r="C166" s="739">
        <v>206154</v>
      </c>
      <c r="D166" s="740"/>
      <c r="E166" s="741"/>
      <c r="F166" s="741"/>
      <c r="G166" s="742">
        <v>23118</v>
      </c>
      <c r="H166" s="743"/>
      <c r="I166" s="742">
        <v>23118</v>
      </c>
      <c r="J166" s="741" t="s">
        <v>579</v>
      </c>
      <c r="K166" s="741">
        <v>3.6058989272000002</v>
      </c>
      <c r="L166" s="440">
        <v>83361</v>
      </c>
      <c r="M166" s="744"/>
      <c r="N166" s="745">
        <v>1194.9473684210527</v>
      </c>
      <c r="O166" s="741">
        <v>0.2036</v>
      </c>
      <c r="P166" s="440">
        <v>9245.0688000000009</v>
      </c>
      <c r="Q166" s="744"/>
      <c r="R166" s="745">
        <v>0</v>
      </c>
      <c r="S166" s="741">
        <v>1.7611399999999999</v>
      </c>
      <c r="T166" s="439">
        <v>0</v>
      </c>
      <c r="U166" s="740"/>
      <c r="V166" s="746"/>
      <c r="W166" s="740"/>
      <c r="X166" s="746"/>
      <c r="Y166" s="740"/>
      <c r="Z166" s="746"/>
      <c r="AA166" s="740"/>
      <c r="AB166" s="741"/>
      <c r="AC166" s="741"/>
      <c r="AD166" s="440">
        <v>0</v>
      </c>
      <c r="AE166" s="740"/>
      <c r="AF166" s="745">
        <v>306.4736842105263</v>
      </c>
      <c r="AG166" s="741">
        <v>0.2036</v>
      </c>
      <c r="AH166" s="440">
        <v>2371.1255999999998</v>
      </c>
      <c r="AI166" s="740"/>
      <c r="AJ166" s="441">
        <v>94977.194400000008</v>
      </c>
      <c r="AK166" s="747"/>
      <c r="AL166" s="440">
        <v>91300.159874414385</v>
      </c>
      <c r="AM166" s="440">
        <v>3677.0345255856228</v>
      </c>
      <c r="AN166" s="440"/>
      <c r="AO166" s="441"/>
      <c r="AP166" s="444">
        <v>4.1083655333506366</v>
      </c>
      <c r="AQ166" s="444">
        <v>3.6058989272000002</v>
      </c>
      <c r="AR166" s="444">
        <v>0.50246660615063643</v>
      </c>
      <c r="AT166" s="683"/>
      <c r="AU166" s="683"/>
      <c r="AW166" s="441"/>
      <c r="AX166" s="441"/>
      <c r="BG166" s="1165"/>
      <c r="BH166" s="1165"/>
      <c r="BI166" s="1165"/>
    </row>
    <row r="167" spans="1:61" x14ac:dyDescent="0.2">
      <c r="A167" s="332" t="s">
        <v>744</v>
      </c>
      <c r="C167" s="324" t="s">
        <v>745</v>
      </c>
      <c r="G167" s="326">
        <v>3552</v>
      </c>
      <c r="I167" s="325">
        <v>3552</v>
      </c>
      <c r="J167" s="325" t="s">
        <v>579</v>
      </c>
      <c r="K167" s="325">
        <v>3.6058989272000002</v>
      </c>
      <c r="L167" s="326">
        <v>12808</v>
      </c>
      <c r="N167" s="325">
        <v>131.0526315789474</v>
      </c>
      <c r="O167" s="325">
        <v>0.2036</v>
      </c>
      <c r="P167" s="326">
        <v>1013.9280000000002</v>
      </c>
      <c r="R167" s="325">
        <v>0</v>
      </c>
      <c r="S167" s="325">
        <v>1.7611399999999999</v>
      </c>
      <c r="T167" s="327">
        <v>0</v>
      </c>
      <c r="AB167" s="325"/>
      <c r="AC167" s="325"/>
      <c r="AD167" s="326">
        <v>0</v>
      </c>
      <c r="AF167" s="325">
        <v>0</v>
      </c>
      <c r="AG167" s="325">
        <v>0.2036</v>
      </c>
      <c r="AH167" s="326">
        <v>0</v>
      </c>
      <c r="AJ167" s="326">
        <v>13821.928</v>
      </c>
      <c r="AL167" s="668">
        <v>25621.900872623999</v>
      </c>
      <c r="AM167" s="668">
        <v>-11799.972872623999</v>
      </c>
      <c r="AP167" s="324">
        <v>3.8913085585585585</v>
      </c>
      <c r="AQ167" s="324">
        <v>3.6058989272000002</v>
      </c>
      <c r="AR167" s="324">
        <v>0.28540963135855835</v>
      </c>
    </row>
    <row r="168" spans="1:61" x14ac:dyDescent="0.2">
      <c r="A168" s="331" t="s">
        <v>746</v>
      </c>
      <c r="B168" s="324" t="s">
        <v>747</v>
      </c>
      <c r="C168" s="324" t="s">
        <v>748</v>
      </c>
      <c r="G168" s="326">
        <v>25362</v>
      </c>
      <c r="I168" s="325">
        <v>25362</v>
      </c>
      <c r="J168" s="325" t="s">
        <v>563</v>
      </c>
      <c r="K168" s="325">
        <v>3.6058989272000002</v>
      </c>
      <c r="L168" s="326">
        <v>91453</v>
      </c>
      <c r="N168" s="325">
        <v>1324.2631578947367</v>
      </c>
      <c r="O168" s="325">
        <v>0.2036</v>
      </c>
      <c r="P168" s="326">
        <v>10245.5592</v>
      </c>
      <c r="R168" s="325">
        <v>60</v>
      </c>
      <c r="S168" s="325">
        <v>1.7611399999999999</v>
      </c>
      <c r="T168" s="327">
        <v>4015.3991999999998</v>
      </c>
      <c r="AB168" s="325"/>
      <c r="AC168" s="325"/>
      <c r="AD168" s="326">
        <v>0</v>
      </c>
      <c r="AF168" s="325">
        <v>53.684210526315788</v>
      </c>
      <c r="AG168" s="325">
        <v>0.2036</v>
      </c>
      <c r="AH168" s="326">
        <v>415.34399999999999</v>
      </c>
      <c r="AJ168" s="326">
        <v>106129.3024</v>
      </c>
      <c r="AL168" s="668">
        <v>93953.912527745604</v>
      </c>
      <c r="AM168" s="668">
        <v>12175.389872254396</v>
      </c>
      <c r="AP168" s="324">
        <v>4.1845793864837155</v>
      </c>
      <c r="AQ168" s="324">
        <v>3.6058989272000002</v>
      </c>
      <c r="AR168" s="324">
        <v>0.57868045928371536</v>
      </c>
    </row>
    <row r="169" spans="1:61" x14ac:dyDescent="0.2">
      <c r="A169" s="331" t="s">
        <v>749</v>
      </c>
      <c r="B169" s="324" t="s">
        <v>750</v>
      </c>
      <c r="C169" s="324" t="s">
        <v>751</v>
      </c>
      <c r="G169" s="326">
        <v>15558</v>
      </c>
      <c r="I169" s="325">
        <v>15558</v>
      </c>
      <c r="J169" s="325" t="s">
        <v>563</v>
      </c>
      <c r="K169" s="325">
        <v>3.6058989272000002</v>
      </c>
      <c r="L169" s="326">
        <v>56101</v>
      </c>
      <c r="N169" s="325">
        <v>4.1052631578947363</v>
      </c>
      <c r="O169" s="325">
        <v>0.2036</v>
      </c>
      <c r="P169" s="326">
        <v>31.761599999999998</v>
      </c>
      <c r="R169" s="325">
        <v>0</v>
      </c>
      <c r="S169" s="325">
        <v>1.7611399999999999</v>
      </c>
      <c r="T169" s="327">
        <v>0</v>
      </c>
      <c r="AB169" s="325"/>
      <c r="AC169" s="325"/>
      <c r="AD169" s="326">
        <v>0</v>
      </c>
      <c r="AF169" s="325">
        <v>4.7368421052631575</v>
      </c>
      <c r="AG169" s="325">
        <v>0.2036</v>
      </c>
      <c r="AH169" s="326">
        <v>36.647999999999996</v>
      </c>
      <c r="AJ169" s="326">
        <v>56169.409599999999</v>
      </c>
      <c r="AL169" s="668">
        <v>47764.518226166401</v>
      </c>
      <c r="AM169" s="668">
        <v>8404.8913738335978</v>
      </c>
      <c r="AO169" s="668"/>
      <c r="AP169" s="324">
        <v>3.61032328062733</v>
      </c>
      <c r="AQ169" s="324">
        <v>3.6058989272000002</v>
      </c>
      <c r="AR169" s="324">
        <v>4.4243534273298302E-3</v>
      </c>
    </row>
    <row r="170" spans="1:61" x14ac:dyDescent="0.2">
      <c r="A170" s="748" t="s">
        <v>752</v>
      </c>
      <c r="B170" s="749" t="s">
        <v>750</v>
      </c>
      <c r="C170" s="749">
        <v>206103</v>
      </c>
      <c r="D170" s="749"/>
      <c r="E170" s="750"/>
      <c r="F170" s="750"/>
      <c r="G170" s="751">
        <v>20394</v>
      </c>
      <c r="H170" s="750"/>
      <c r="I170" s="750">
        <v>20394</v>
      </c>
      <c r="J170" s="750" t="s">
        <v>563</v>
      </c>
      <c r="K170" s="750">
        <v>3.6058989272000002</v>
      </c>
      <c r="L170" s="751">
        <v>73539</v>
      </c>
      <c r="M170" s="750"/>
      <c r="N170" s="751">
        <v>279.94736842105266</v>
      </c>
      <c r="O170" s="750">
        <v>0.2036</v>
      </c>
      <c r="P170" s="751">
        <v>2165.8968000000004</v>
      </c>
      <c r="Q170" s="750"/>
      <c r="R170" s="751">
        <v>15</v>
      </c>
      <c r="S170" s="750">
        <v>1.7611399999999999</v>
      </c>
      <c r="T170" s="751">
        <v>1003.8498</v>
      </c>
      <c r="U170" s="749"/>
      <c r="V170" s="751"/>
      <c r="W170" s="749"/>
      <c r="X170" s="751"/>
      <c r="Y170" s="749"/>
      <c r="Z170" s="751"/>
      <c r="AA170" s="749"/>
      <c r="AB170" s="750"/>
      <c r="AC170" s="750"/>
      <c r="AD170" s="751">
        <v>0</v>
      </c>
      <c r="AE170" s="749"/>
      <c r="AF170" s="751">
        <v>28.578947368421051</v>
      </c>
      <c r="AG170" s="750">
        <v>0.2036</v>
      </c>
      <c r="AH170" s="751">
        <v>221.1096</v>
      </c>
      <c r="AI170" s="749"/>
      <c r="AJ170" s="751">
        <v>76929.856199999995</v>
      </c>
      <c r="AL170" s="326">
        <v>73554.176054193595</v>
      </c>
      <c r="AM170" s="326">
        <v>3375.6801458064001</v>
      </c>
      <c r="AN170" s="326"/>
      <c r="AO170" s="326"/>
      <c r="AP170" s="324">
        <v>3.7721808473080314</v>
      </c>
      <c r="AQ170" s="324">
        <v>3.6058989272000002</v>
      </c>
      <c r="AR170" s="324">
        <v>0.16628192010803122</v>
      </c>
    </row>
    <row r="171" spans="1:61" x14ac:dyDescent="0.2">
      <c r="A171" s="332" t="s">
        <v>753</v>
      </c>
      <c r="B171" s="324" t="s">
        <v>754</v>
      </c>
      <c r="C171" s="324" t="s">
        <v>755</v>
      </c>
      <c r="D171" s="332"/>
      <c r="E171" s="324"/>
      <c r="F171" s="324"/>
      <c r="G171" s="752">
        <v>3310</v>
      </c>
      <c r="H171" s="324"/>
      <c r="I171" s="324">
        <v>3310</v>
      </c>
      <c r="J171" s="332" t="s">
        <v>563</v>
      </c>
      <c r="K171" s="324">
        <v>3.6058989272000002</v>
      </c>
      <c r="L171" s="324">
        <v>11936</v>
      </c>
      <c r="M171" s="332"/>
      <c r="N171" s="324">
        <v>104.21052631578948</v>
      </c>
      <c r="O171" s="324">
        <v>0.2036</v>
      </c>
      <c r="P171" s="332">
        <v>806.25600000000009</v>
      </c>
      <c r="Q171" s="324"/>
      <c r="R171" s="324">
        <v>60.526315789473685</v>
      </c>
      <c r="S171" s="332">
        <v>1.7611399999999999</v>
      </c>
      <c r="T171" s="324">
        <v>4050.6220000000003</v>
      </c>
      <c r="V171" s="332"/>
      <c r="X171" s="324"/>
      <c r="Y171" s="332"/>
      <c r="Z171" s="324"/>
      <c r="AB171" s="332"/>
      <c r="AC171" s="324"/>
      <c r="AD171" s="324">
        <v>0</v>
      </c>
      <c r="AE171" s="332"/>
      <c r="AF171" s="324">
        <v>31.315789473684209</v>
      </c>
      <c r="AG171" s="324">
        <v>0.2036</v>
      </c>
      <c r="AH171" s="332">
        <v>242.28399999999999</v>
      </c>
      <c r="AJ171" s="324">
        <v>17035.162</v>
      </c>
      <c r="AK171" s="332"/>
      <c r="AL171" s="668">
        <v>16399.411170104002</v>
      </c>
      <c r="AM171" s="668">
        <v>635.75082989599832</v>
      </c>
      <c r="AN171" s="332"/>
      <c r="AP171" s="324">
        <v>5.1465746223564954</v>
      </c>
      <c r="AQ171" s="332">
        <v>3.6058989272000002</v>
      </c>
      <c r="AR171" s="324">
        <v>1.5406756951564953</v>
      </c>
      <c r="AT171" s="752"/>
      <c r="AX171" s="668"/>
    </row>
    <row r="172" spans="1:61" x14ac:dyDescent="0.2">
      <c r="A172" s="332" t="s">
        <v>756</v>
      </c>
      <c r="B172" s="324" t="s">
        <v>757</v>
      </c>
      <c r="C172" s="324" t="s">
        <v>758</v>
      </c>
      <c r="G172" s="326">
        <v>16350</v>
      </c>
      <c r="I172" s="325">
        <v>16350</v>
      </c>
      <c r="J172" s="325" t="s">
        <v>563</v>
      </c>
      <c r="K172" s="325">
        <v>3.6058989272000002</v>
      </c>
      <c r="L172" s="326">
        <v>58956</v>
      </c>
      <c r="N172" s="325">
        <v>900.78947368421052</v>
      </c>
      <c r="O172" s="325">
        <v>0.2036</v>
      </c>
      <c r="P172" s="326">
        <v>6969.2280000000001</v>
      </c>
      <c r="R172" s="325">
        <v>20.526315789473685</v>
      </c>
      <c r="S172" s="325">
        <v>1.7611399999999999</v>
      </c>
      <c r="T172" s="327">
        <v>1373.6891999999998</v>
      </c>
      <c r="AB172" s="325"/>
      <c r="AC172" s="325"/>
      <c r="AD172" s="326">
        <v>0</v>
      </c>
      <c r="AF172" s="325">
        <v>48.157894736842103</v>
      </c>
      <c r="AG172" s="325">
        <v>0.2036</v>
      </c>
      <c r="AH172" s="326">
        <v>372.58799999999997</v>
      </c>
      <c r="AJ172" s="326">
        <v>67671.5052</v>
      </c>
      <c r="AL172" s="668">
        <v>63841.082528687999</v>
      </c>
      <c r="AM172" s="668">
        <v>3830.4226713120006</v>
      </c>
      <c r="AP172" s="324">
        <v>4.1389299816513763</v>
      </c>
      <c r="AQ172" s="324">
        <v>3.6058989272000002</v>
      </c>
      <c r="AR172" s="324">
        <v>0.53303105445137611</v>
      </c>
    </row>
    <row r="173" spans="1:61" s="754" customFormat="1" x14ac:dyDescent="0.2">
      <c r="A173" s="753" t="s">
        <v>759</v>
      </c>
      <c r="B173" s="754" t="s">
        <v>760</v>
      </c>
      <c r="C173" s="754">
        <v>258420</v>
      </c>
      <c r="E173" s="755"/>
      <c r="F173" s="755"/>
      <c r="G173" s="756">
        <v>10204</v>
      </c>
      <c r="H173" s="756"/>
      <c r="I173" s="756">
        <v>10204</v>
      </c>
      <c r="J173" s="756" t="s">
        <v>563</v>
      </c>
      <c r="K173" s="756">
        <v>3.6058989272000002</v>
      </c>
      <c r="L173" s="756">
        <v>36795</v>
      </c>
      <c r="M173" s="756"/>
      <c r="N173" s="756">
        <v>290.9473684210526</v>
      </c>
      <c r="O173" s="756">
        <v>0.2036</v>
      </c>
      <c r="P173" s="756">
        <v>2251.0016000000001</v>
      </c>
      <c r="Q173" s="756"/>
      <c r="R173" s="756">
        <v>4.7368421052631575</v>
      </c>
      <c r="S173" s="756">
        <v>1.7611399999999999</v>
      </c>
      <c r="T173" s="756">
        <v>317.00519999999995</v>
      </c>
      <c r="U173" s="756"/>
      <c r="V173" s="756"/>
      <c r="W173" s="756"/>
      <c r="X173" s="756"/>
      <c r="Y173" s="756"/>
      <c r="Z173" s="756"/>
      <c r="AA173" s="756"/>
      <c r="AB173" s="756"/>
      <c r="AC173" s="756"/>
      <c r="AD173" s="756">
        <v>0</v>
      </c>
      <c r="AE173" s="756"/>
      <c r="AF173" s="756">
        <v>15</v>
      </c>
      <c r="AG173" s="756">
        <v>0.2036</v>
      </c>
      <c r="AH173" s="756">
        <v>116.05200000000001</v>
      </c>
      <c r="AI173" s="756"/>
      <c r="AJ173" s="756">
        <v>39479.058799999999</v>
      </c>
      <c r="AK173" s="756"/>
      <c r="AL173" s="756">
        <v>42117.171897897606</v>
      </c>
      <c r="AM173" s="756">
        <v>-2638.1130978976071</v>
      </c>
      <c r="AN173" s="756"/>
      <c r="AO173" s="756"/>
      <c r="AP173" s="756">
        <v>3.8689787142297138</v>
      </c>
      <c r="AQ173" s="754">
        <v>3.6058989272000002</v>
      </c>
      <c r="AR173" s="754">
        <v>0.26307978702971369</v>
      </c>
      <c r="AT173" s="756"/>
      <c r="AX173" s="324"/>
      <c r="BG173" s="1166"/>
      <c r="BH173" s="1166"/>
      <c r="BI173" s="1166"/>
    </row>
    <row r="174" spans="1:61" x14ac:dyDescent="0.2">
      <c r="A174" s="332" t="s">
        <v>761</v>
      </c>
      <c r="B174" s="324" t="s">
        <v>762</v>
      </c>
      <c r="C174" s="324">
        <v>258424</v>
      </c>
      <c r="G174" s="326">
        <v>20334</v>
      </c>
      <c r="I174" s="325">
        <v>20334</v>
      </c>
      <c r="J174" s="325" t="s">
        <v>563</v>
      </c>
      <c r="K174" s="325">
        <v>3.6058989272000002</v>
      </c>
      <c r="L174" s="326">
        <v>73322</v>
      </c>
      <c r="N174" s="325">
        <v>205.73684210526315</v>
      </c>
      <c r="O174" s="325">
        <v>0.2036</v>
      </c>
      <c r="P174" s="326">
        <v>1591.7447999999999</v>
      </c>
      <c r="R174" s="325">
        <v>15</v>
      </c>
      <c r="S174" s="325">
        <v>1.7611399999999999</v>
      </c>
      <c r="T174" s="327">
        <v>1003.8498</v>
      </c>
      <c r="AB174" s="325"/>
      <c r="AC174" s="325"/>
      <c r="AD174" s="326">
        <v>0</v>
      </c>
      <c r="AF174" s="325">
        <v>4.7368421052631575</v>
      </c>
      <c r="AG174" s="325">
        <v>0.2036</v>
      </c>
      <c r="AH174" s="326">
        <v>36.647999999999996</v>
      </c>
      <c r="AJ174" s="326">
        <v>75954.242599999998</v>
      </c>
      <c r="AL174" s="668">
        <v>80220.834208209606</v>
      </c>
      <c r="AM174" s="668">
        <v>-4266.5916082096082</v>
      </c>
      <c r="AP174" s="324">
        <v>3.7353320841939608</v>
      </c>
      <c r="AQ174" s="324">
        <v>3.6058989272000002</v>
      </c>
      <c r="AR174" s="324">
        <v>0.12943315699396063</v>
      </c>
    </row>
    <row r="175" spans="1:61" x14ac:dyDescent="0.2">
      <c r="A175" s="332" t="s">
        <v>765</v>
      </c>
      <c r="B175" s="324" t="s">
        <v>766</v>
      </c>
      <c r="C175" s="324" t="s">
        <v>767</v>
      </c>
      <c r="G175" s="326">
        <v>11586</v>
      </c>
      <c r="I175" s="325">
        <v>11586</v>
      </c>
      <c r="J175" s="325" t="s">
        <v>579</v>
      </c>
      <c r="K175" s="325">
        <v>3.6058989272000002</v>
      </c>
      <c r="L175" s="326">
        <v>41778</v>
      </c>
      <c r="N175" s="325">
        <v>199.26315789473682</v>
      </c>
      <c r="O175" s="325">
        <v>0.2036</v>
      </c>
      <c r="P175" s="326">
        <v>1541.6591999999998</v>
      </c>
      <c r="R175" s="325">
        <v>4.7368421052631575</v>
      </c>
      <c r="S175" s="325">
        <v>1.7611399999999999</v>
      </c>
      <c r="T175" s="327">
        <v>317.00519999999995</v>
      </c>
      <c r="AB175" s="325"/>
      <c r="AC175" s="325"/>
      <c r="AD175" s="326">
        <v>0</v>
      </c>
      <c r="AF175" s="325">
        <v>3.7894736842105261</v>
      </c>
      <c r="AG175" s="325">
        <v>0.2036</v>
      </c>
      <c r="AH175" s="326">
        <v>29.318399999999997</v>
      </c>
      <c r="AJ175" s="326">
        <v>43665.982799999998</v>
      </c>
      <c r="AL175" s="668">
        <v>45260.498771457598</v>
      </c>
      <c r="AM175" s="668">
        <v>-1594.5159714576002</v>
      </c>
      <c r="AO175" s="668"/>
      <c r="AP175" s="324">
        <v>3.768857483169342</v>
      </c>
      <c r="AQ175" s="324">
        <v>3.6058989272000002</v>
      </c>
      <c r="AR175" s="324">
        <v>0.16295855596934183</v>
      </c>
    </row>
    <row r="176" spans="1:61" x14ac:dyDescent="0.2">
      <c r="A176" s="332" t="s">
        <v>768</v>
      </c>
      <c r="C176" s="324" t="s">
        <v>769</v>
      </c>
      <c r="G176" s="326">
        <v>29298</v>
      </c>
      <c r="H176" s="326"/>
      <c r="I176" s="326">
        <v>29298</v>
      </c>
      <c r="J176" s="326" t="s">
        <v>563</v>
      </c>
      <c r="K176" s="326">
        <v>3.6058989272000002</v>
      </c>
      <c r="L176" s="326">
        <v>105646</v>
      </c>
      <c r="M176" s="326"/>
      <c r="N176" s="326">
        <v>190.73684210526318</v>
      </c>
      <c r="O176" s="326">
        <v>0.2036</v>
      </c>
      <c r="P176" s="326">
        <v>1475.6928000000003</v>
      </c>
      <c r="Q176" s="326"/>
      <c r="R176" s="326">
        <v>0</v>
      </c>
      <c r="S176" s="326">
        <v>1.7611399999999999</v>
      </c>
      <c r="T176" s="326">
        <v>0</v>
      </c>
      <c r="U176" s="326"/>
      <c r="V176" s="326"/>
      <c r="W176" s="326"/>
      <c r="X176" s="326"/>
      <c r="Y176" s="326"/>
      <c r="Z176" s="326"/>
      <c r="AA176" s="326"/>
      <c r="AB176" s="326"/>
      <c r="AC176" s="326"/>
      <c r="AD176" s="326">
        <v>0</v>
      </c>
      <c r="AE176" s="326"/>
      <c r="AF176" s="326">
        <v>4.7368421052631575</v>
      </c>
      <c r="AG176" s="326">
        <v>0.2036</v>
      </c>
      <c r="AH176" s="326">
        <v>36.647999999999996</v>
      </c>
      <c r="AI176" s="326"/>
      <c r="AJ176" s="326">
        <v>107158.34080000001</v>
      </c>
      <c r="AK176" s="326"/>
      <c r="AL176" s="326">
        <v>124297.3659248</v>
      </c>
      <c r="AM176" s="326">
        <v>-17139.025124799999</v>
      </c>
      <c r="AN176" s="326"/>
      <c r="AO176" s="326"/>
      <c r="AP176" s="324">
        <v>3.6575309167861287</v>
      </c>
      <c r="AQ176" s="324">
        <v>3.6058989272000002</v>
      </c>
      <c r="AR176" s="324">
        <v>5.1631989586128579E-2</v>
      </c>
      <c r="AT176" s="326"/>
    </row>
    <row r="177" spans="1:51" x14ac:dyDescent="0.2">
      <c r="A177" s="332" t="s">
        <v>770</v>
      </c>
      <c r="B177" s="324" t="s">
        <v>771</v>
      </c>
      <c r="C177" s="324" t="s">
        <v>771</v>
      </c>
      <c r="G177" s="326">
        <v>21888</v>
      </c>
      <c r="H177" s="326"/>
      <c r="I177" s="326">
        <v>21888</v>
      </c>
      <c r="J177" s="326" t="s">
        <v>563</v>
      </c>
      <c r="K177" s="326">
        <v>3.6058989272000002</v>
      </c>
      <c r="L177" s="326">
        <v>78926</v>
      </c>
      <c r="M177" s="326"/>
      <c r="N177" s="326">
        <v>795.78947368421052</v>
      </c>
      <c r="O177" s="326">
        <v>0.2036</v>
      </c>
      <c r="P177" s="326">
        <v>6156.8640000000005</v>
      </c>
      <c r="Q177" s="326"/>
      <c r="R177" s="326">
        <v>4.7368421052631575</v>
      </c>
      <c r="S177" s="326">
        <v>1.7611399999999999</v>
      </c>
      <c r="T177" s="326">
        <v>317.00519999999995</v>
      </c>
      <c r="U177" s="326"/>
      <c r="V177" s="326"/>
      <c r="W177" s="326"/>
      <c r="X177" s="326"/>
      <c r="Y177" s="326"/>
      <c r="Z177" s="326"/>
      <c r="AA177" s="326"/>
      <c r="AB177" s="326"/>
      <c r="AC177" s="326"/>
      <c r="AD177" s="326">
        <v>0</v>
      </c>
      <c r="AE177" s="326"/>
      <c r="AF177" s="326">
        <v>9.473684210526315</v>
      </c>
      <c r="AG177" s="326">
        <v>0.2036</v>
      </c>
      <c r="AH177" s="326">
        <v>73.295999999999992</v>
      </c>
      <c r="AI177" s="326"/>
      <c r="AJ177" s="326">
        <v>85473.165200000003</v>
      </c>
      <c r="AK177" s="326"/>
      <c r="AL177" s="326">
        <v>39664.888199200002</v>
      </c>
      <c r="AM177" s="326">
        <v>45808.277000800001</v>
      </c>
      <c r="AN177" s="326"/>
      <c r="AO177" s="326"/>
      <c r="AP177" s="324">
        <v>3.9050239948830412</v>
      </c>
      <c r="AQ177" s="324">
        <v>3.6058989272000002</v>
      </c>
      <c r="AR177" s="324">
        <v>0.29912506768304103</v>
      </c>
      <c r="AT177" s="326"/>
    </row>
    <row r="178" spans="1:51" x14ac:dyDescent="0.2">
      <c r="A178" s="332" t="s">
        <v>772</v>
      </c>
      <c r="B178" s="324" t="s">
        <v>773</v>
      </c>
      <c r="C178" s="324">
        <v>509204</v>
      </c>
      <c r="G178" s="326">
        <v>20862</v>
      </c>
      <c r="H178" s="326"/>
      <c r="I178" s="326">
        <v>20862</v>
      </c>
      <c r="J178" s="326" t="s">
        <v>563</v>
      </c>
      <c r="K178" s="326">
        <v>3.6058989272000002</v>
      </c>
      <c r="L178" s="326">
        <v>75226</v>
      </c>
      <c r="M178" s="326"/>
      <c r="N178" s="326">
        <v>117.47368421052632</v>
      </c>
      <c r="O178" s="326">
        <v>0.2036</v>
      </c>
      <c r="P178" s="326">
        <v>908.87040000000002</v>
      </c>
      <c r="Q178" s="326"/>
      <c r="R178" s="326">
        <v>0</v>
      </c>
      <c r="S178" s="326">
        <v>1.7611399999999999</v>
      </c>
      <c r="T178" s="326">
        <v>0</v>
      </c>
      <c r="U178" s="326"/>
      <c r="V178" s="326"/>
      <c r="W178" s="326"/>
      <c r="X178" s="326"/>
      <c r="Y178" s="326"/>
      <c r="Z178" s="326"/>
      <c r="AA178" s="326"/>
      <c r="AB178" s="326"/>
      <c r="AC178" s="326"/>
      <c r="AD178" s="326">
        <v>0</v>
      </c>
      <c r="AE178" s="326"/>
      <c r="AF178" s="326">
        <v>15</v>
      </c>
      <c r="AG178" s="326">
        <v>0.2036</v>
      </c>
      <c r="AH178" s="326">
        <v>116.05200000000001</v>
      </c>
      <c r="AI178" s="326"/>
      <c r="AJ178" s="326">
        <v>76250.922399999996</v>
      </c>
      <c r="AK178" s="326"/>
      <c r="AL178" s="326">
        <v>92344.699171876797</v>
      </c>
      <c r="AM178" s="326">
        <v>-16093.776771876801</v>
      </c>
      <c r="AN178" s="326"/>
      <c r="AO178" s="326"/>
      <c r="AP178" s="324">
        <v>3.6550149745949572</v>
      </c>
      <c r="AQ178" s="324">
        <v>3.6058989272000002</v>
      </c>
      <c r="AR178" s="324">
        <v>4.9116047394957008E-2</v>
      </c>
      <c r="AT178" s="326"/>
    </row>
    <row r="179" spans="1:51" x14ac:dyDescent="0.2">
      <c r="H179" s="326"/>
      <c r="I179" s="326"/>
      <c r="J179" s="326"/>
      <c r="K179" s="326"/>
      <c r="M179" s="326"/>
      <c r="N179" s="326"/>
      <c r="O179" s="326"/>
      <c r="Q179" s="326"/>
      <c r="R179" s="326"/>
      <c r="S179" s="326"/>
      <c r="T179" s="326"/>
      <c r="U179" s="326"/>
      <c r="V179" s="326"/>
      <c r="W179" s="326"/>
      <c r="X179" s="326"/>
      <c r="Y179" s="326"/>
      <c r="Z179" s="326"/>
      <c r="AA179" s="326"/>
      <c r="AB179" s="326"/>
      <c r="AC179" s="326"/>
      <c r="AD179" s="326">
        <v>0</v>
      </c>
      <c r="AE179" s="326"/>
      <c r="AF179" s="326"/>
      <c r="AG179" s="326"/>
      <c r="AH179" s="326"/>
      <c r="AI179" s="326"/>
      <c r="AK179" s="326"/>
      <c r="AL179" s="326"/>
      <c r="AM179" s="326"/>
      <c r="AN179" s="326"/>
      <c r="AO179" s="326"/>
      <c r="AT179" s="326"/>
      <c r="AY179" s="324" t="s">
        <v>934</v>
      </c>
    </row>
    <row r="180" spans="1:51" ht="13.5" thickBot="1" x14ac:dyDescent="0.25">
      <c r="A180" s="332" t="s">
        <v>775</v>
      </c>
      <c r="G180" s="757">
        <v>1066876</v>
      </c>
      <c r="H180" s="757"/>
      <c r="I180" s="757">
        <v>1066876</v>
      </c>
      <c r="J180" s="757"/>
      <c r="K180" s="757"/>
      <c r="L180" s="757">
        <v>3847044</v>
      </c>
      <c r="M180" s="757"/>
      <c r="N180" s="757">
        <v>26761.052631578936</v>
      </c>
      <c r="O180" s="757"/>
      <c r="P180" s="757">
        <v>207044.91200000001</v>
      </c>
      <c r="Q180" s="757"/>
      <c r="R180" s="757">
        <v>620.47368421052613</v>
      </c>
      <c r="S180" s="757"/>
      <c r="T180" s="757">
        <v>41524.158919999987</v>
      </c>
      <c r="U180" s="757"/>
      <c r="V180" s="757">
        <v>0</v>
      </c>
      <c r="W180" s="757"/>
      <c r="X180" s="757">
        <v>0</v>
      </c>
      <c r="Y180" s="757"/>
      <c r="Z180" s="757">
        <v>0</v>
      </c>
      <c r="AA180" s="757"/>
      <c r="AB180" s="757"/>
      <c r="AC180" s="757"/>
      <c r="AD180" s="757">
        <v>0</v>
      </c>
      <c r="AE180" s="757"/>
      <c r="AF180" s="757">
        <v>3087.052631578948</v>
      </c>
      <c r="AG180" s="757"/>
      <c r="AH180" s="757">
        <v>23883.908799999994</v>
      </c>
      <c r="AI180" s="757"/>
      <c r="AJ180" s="757">
        <v>4119496.9797199988</v>
      </c>
      <c r="AK180" s="757"/>
      <c r="AL180" s="757">
        <v>3952292.0447890786</v>
      </c>
      <c r="AM180" s="757">
        <v>167204.93493092159</v>
      </c>
      <c r="AN180" s="757">
        <v>0</v>
      </c>
      <c r="AO180" s="757">
        <v>0</v>
      </c>
      <c r="AT180" s="757"/>
    </row>
    <row r="181" spans="1:51" ht="13.5" thickTop="1" x14ac:dyDescent="0.2">
      <c r="C181" s="642"/>
      <c r="G181" s="668">
        <v>1036693.3134328359</v>
      </c>
      <c r="H181" s="668"/>
      <c r="I181" s="668">
        <v>0.87855945770642507</v>
      </c>
      <c r="J181" s="668"/>
      <c r="K181" s="668"/>
      <c r="L181" s="668"/>
      <c r="M181" s="668"/>
      <c r="N181" s="668"/>
      <c r="O181" s="668"/>
      <c r="P181" s="668">
        <v>249451.70120481931</v>
      </c>
      <c r="Q181" s="668"/>
      <c r="R181" s="668"/>
      <c r="S181" s="668"/>
      <c r="T181" s="668"/>
      <c r="U181" s="668"/>
      <c r="V181" s="668"/>
      <c r="W181" s="668"/>
      <c r="X181" s="668"/>
      <c r="Y181" s="668"/>
      <c r="Z181" s="668"/>
      <c r="AA181" s="668"/>
      <c r="AB181" s="668"/>
      <c r="AC181" s="668"/>
      <c r="AD181" s="668"/>
      <c r="AE181" s="668"/>
      <c r="AF181" s="668"/>
      <c r="AG181" s="668"/>
      <c r="AH181" s="668"/>
      <c r="AI181" s="668"/>
      <c r="AJ181" s="668"/>
      <c r="AK181" s="668"/>
      <c r="AL181" s="668">
        <v>80000</v>
      </c>
      <c r="AO181" s="668"/>
    </row>
    <row r="182" spans="1:51" x14ac:dyDescent="0.2">
      <c r="H182" s="326"/>
      <c r="I182" s="326"/>
      <c r="J182" s="326"/>
      <c r="K182" s="326"/>
      <c r="M182" s="326"/>
      <c r="N182" s="326"/>
      <c r="O182" s="326"/>
      <c r="Q182" s="326"/>
      <c r="R182" s="326"/>
      <c r="S182" s="326"/>
      <c r="T182" s="326"/>
      <c r="U182" s="326"/>
      <c r="V182" s="326"/>
      <c r="W182" s="326"/>
      <c r="X182" s="326"/>
      <c r="Y182" s="326"/>
      <c r="Z182" s="326"/>
      <c r="AA182" s="326"/>
      <c r="AB182" s="326"/>
      <c r="AC182" s="326"/>
      <c r="AD182" s="326"/>
      <c r="AE182" s="326"/>
      <c r="AF182" s="326"/>
      <c r="AG182" s="326"/>
      <c r="AH182" s="326"/>
      <c r="AI182" s="326"/>
      <c r="AK182" s="326"/>
      <c r="AL182" s="326">
        <v>4032292.0447890786</v>
      </c>
      <c r="AM182" s="326"/>
      <c r="AN182" s="326"/>
    </row>
    <row r="183" spans="1:51" x14ac:dyDescent="0.2">
      <c r="A183" s="331" t="s">
        <v>935</v>
      </c>
      <c r="B183" s="331"/>
      <c r="C183" s="331"/>
      <c r="G183" s="326">
        <v>1027687</v>
      </c>
      <c r="L183" s="326">
        <v>3705740</v>
      </c>
      <c r="N183" s="325">
        <v>23824</v>
      </c>
      <c r="O183" s="326"/>
      <c r="P183" s="326">
        <v>184325</v>
      </c>
      <c r="R183" s="325">
        <v>558</v>
      </c>
      <c r="S183" s="326"/>
      <c r="T183" s="327">
        <v>37326</v>
      </c>
      <c r="V183" s="328">
        <v>0</v>
      </c>
      <c r="X183" s="328">
        <v>0</v>
      </c>
      <c r="Z183" s="328">
        <v>0</v>
      </c>
      <c r="AB183" s="325"/>
      <c r="AC183" s="326"/>
      <c r="AD183" s="326">
        <v>0</v>
      </c>
      <c r="AF183" s="325">
        <v>3219</v>
      </c>
      <c r="AG183" s="326"/>
      <c r="AH183" s="326">
        <v>24907</v>
      </c>
      <c r="AJ183" s="326">
        <v>3952297</v>
      </c>
    </row>
    <row r="184" spans="1:51" x14ac:dyDescent="0.2">
      <c r="A184" s="607" t="s">
        <v>921</v>
      </c>
      <c r="B184" s="608"/>
      <c r="C184" s="608"/>
      <c r="G184" s="326">
        <v>39189</v>
      </c>
      <c r="L184" s="326">
        <v>141304</v>
      </c>
      <c r="N184" s="325">
        <v>2937.0526315789357</v>
      </c>
      <c r="O184" s="326"/>
      <c r="P184" s="326">
        <v>22719.912000000011</v>
      </c>
      <c r="R184" s="325">
        <v>62.47368421052613</v>
      </c>
      <c r="S184" s="326"/>
      <c r="T184" s="327">
        <v>4198.1589199999871</v>
      </c>
      <c r="V184" s="328">
        <v>0</v>
      </c>
      <c r="X184" s="328">
        <v>0</v>
      </c>
      <c r="Z184" s="328">
        <v>0</v>
      </c>
      <c r="AB184" s="325"/>
      <c r="AC184" s="326"/>
      <c r="AD184" s="326">
        <v>0</v>
      </c>
      <c r="AF184" s="325">
        <v>-131.94736842105203</v>
      </c>
      <c r="AG184" s="326"/>
      <c r="AH184" s="326">
        <v>-1023.0912000000062</v>
      </c>
      <c r="AJ184" s="326">
        <v>167199.97971999878</v>
      </c>
    </row>
    <row r="185" spans="1:51" x14ac:dyDescent="0.2">
      <c r="A185" s="666">
        <v>1</v>
      </c>
      <c r="B185" s="608">
        <v>2</v>
      </c>
      <c r="C185" s="608">
        <v>3</v>
      </c>
      <c r="D185" s="324">
        <v>4</v>
      </c>
      <c r="E185" s="325">
        <v>5</v>
      </c>
      <c r="F185" s="325">
        <v>6</v>
      </c>
      <c r="G185" s="326">
        <v>7</v>
      </c>
      <c r="H185" s="325">
        <v>8</v>
      </c>
      <c r="I185" s="325">
        <v>9</v>
      </c>
      <c r="J185" s="325">
        <v>10</v>
      </c>
      <c r="K185" s="325">
        <v>11</v>
      </c>
      <c r="L185" s="326">
        <v>12</v>
      </c>
      <c r="M185" s="325">
        <v>13</v>
      </c>
      <c r="N185" s="325">
        <v>14</v>
      </c>
      <c r="O185" s="326">
        <v>15</v>
      </c>
      <c r="P185" s="326">
        <v>16</v>
      </c>
      <c r="Q185" s="325">
        <v>17</v>
      </c>
      <c r="R185" s="325">
        <v>18</v>
      </c>
      <c r="S185" s="326">
        <v>19</v>
      </c>
      <c r="T185" s="327">
        <v>20</v>
      </c>
      <c r="U185" s="324">
        <v>21</v>
      </c>
      <c r="V185" s="328">
        <v>22</v>
      </c>
      <c r="W185" s="324">
        <v>23</v>
      </c>
      <c r="X185" s="328">
        <v>24</v>
      </c>
      <c r="Y185" s="324">
        <v>25</v>
      </c>
      <c r="Z185" s="328">
        <v>26</v>
      </c>
      <c r="AA185" s="324">
        <v>27</v>
      </c>
      <c r="AB185" s="325">
        <v>28</v>
      </c>
      <c r="AC185" s="326">
        <v>29</v>
      </c>
      <c r="AD185" s="326">
        <v>30</v>
      </c>
      <c r="AE185" s="324">
        <v>31</v>
      </c>
      <c r="AF185" s="325">
        <v>32</v>
      </c>
      <c r="AG185" s="326">
        <v>33</v>
      </c>
      <c r="AH185" s="326">
        <v>34</v>
      </c>
      <c r="AI185" s="324">
        <v>35</v>
      </c>
      <c r="AJ185" s="326">
        <v>36</v>
      </c>
      <c r="AK185" s="324">
        <v>37</v>
      </c>
      <c r="AL185" s="668">
        <v>38</v>
      </c>
      <c r="AM185" s="668">
        <v>39</v>
      </c>
      <c r="AN185" s="668">
        <v>40</v>
      </c>
      <c r="AO185" s="324">
        <v>41</v>
      </c>
      <c r="AP185" s="324">
        <v>42</v>
      </c>
      <c r="AQ185" s="324">
        <v>43</v>
      </c>
      <c r="AR185" s="324">
        <v>44</v>
      </c>
      <c r="AS185" s="324">
        <v>45</v>
      </c>
      <c r="AT185" s="668">
        <v>46</v>
      </c>
      <c r="AX185" s="324">
        <v>6952102.0453768242</v>
      </c>
    </row>
    <row r="186" spans="1:51" ht="13.5" thickBot="1" x14ac:dyDescent="0.25">
      <c r="A186" s="607"/>
      <c r="B186" s="608"/>
      <c r="C186" s="608"/>
      <c r="O186" s="757"/>
      <c r="S186" s="757"/>
      <c r="AB186" s="325"/>
      <c r="AC186" s="325"/>
      <c r="AD186" s="326"/>
      <c r="AF186" s="325"/>
      <c r="AG186" s="757"/>
      <c r="AH186" s="326"/>
      <c r="AX186" s="324">
        <v>0</v>
      </c>
    </row>
    <row r="187" spans="1:51" ht="13.5" thickTop="1" x14ac:dyDescent="0.2">
      <c r="A187" s="607"/>
      <c r="B187" s="608"/>
      <c r="C187" s="608"/>
      <c r="G187" s="326">
        <v>2455438</v>
      </c>
      <c r="L187" s="326">
        <v>9374655</v>
      </c>
      <c r="M187" s="325">
        <v>0</v>
      </c>
      <c r="N187" s="325">
        <v>88560.263157894718</v>
      </c>
      <c r="P187" s="326">
        <v>685173.04399999999</v>
      </c>
      <c r="Q187" s="325">
        <v>0</v>
      </c>
      <c r="R187" s="325">
        <v>1491.2631578947367</v>
      </c>
      <c r="T187" s="327">
        <v>99800.28151999999</v>
      </c>
      <c r="U187" s="324">
        <v>0</v>
      </c>
      <c r="V187" s="328">
        <v>0</v>
      </c>
      <c r="W187" s="324">
        <v>0</v>
      </c>
      <c r="X187" s="328">
        <v>0</v>
      </c>
      <c r="Y187" s="324">
        <v>0</v>
      </c>
      <c r="Z187" s="328">
        <v>0</v>
      </c>
      <c r="AA187" s="324">
        <v>0</v>
      </c>
      <c r="AB187" s="325">
        <v>0</v>
      </c>
      <c r="AC187" s="325">
        <v>0</v>
      </c>
      <c r="AD187" s="326">
        <v>800000</v>
      </c>
      <c r="AE187" s="324">
        <v>0</v>
      </c>
      <c r="AF187" s="325">
        <v>12341.894736842109</v>
      </c>
      <c r="AG187" s="325">
        <v>0</v>
      </c>
      <c r="AH187" s="326">
        <v>95486.771200000017</v>
      </c>
      <c r="AI187" s="324">
        <v>0</v>
      </c>
      <c r="AJ187" s="326">
        <v>11055115.096719997</v>
      </c>
      <c r="AK187" s="324">
        <v>0</v>
      </c>
      <c r="AL187" s="668">
        <v>3952292.0447890786</v>
      </c>
      <c r="AM187" s="668">
        <v>167204.93493092159</v>
      </c>
      <c r="AN187" s="668">
        <v>0</v>
      </c>
      <c r="AO187" s="324">
        <v>64996</v>
      </c>
      <c r="AP187" s="324">
        <v>168620</v>
      </c>
      <c r="AT187" s="668">
        <v>64582.144071431343</v>
      </c>
      <c r="AX187" s="324">
        <v>0</v>
      </c>
    </row>
    <row r="188" spans="1:51" x14ac:dyDescent="0.2">
      <c r="A188" s="607"/>
      <c r="B188" s="608"/>
      <c r="C188" s="608"/>
      <c r="AB188" s="325"/>
      <c r="AC188" s="325"/>
      <c r="AD188" s="326"/>
      <c r="AF188" s="325"/>
      <c r="AG188" s="325"/>
      <c r="AH188" s="326"/>
      <c r="AX188" s="324">
        <v>0</v>
      </c>
    </row>
    <row r="189" spans="1:51" x14ac:dyDescent="0.2">
      <c r="A189" s="607"/>
      <c r="B189" s="608"/>
      <c r="C189" s="608"/>
      <c r="AB189" s="325"/>
      <c r="AC189" s="325"/>
      <c r="AD189" s="326"/>
      <c r="AF189" s="325"/>
      <c r="AG189" s="325"/>
      <c r="AH189" s="326"/>
      <c r="AX189" s="324">
        <v>0</v>
      </c>
    </row>
    <row r="190" spans="1:51" x14ac:dyDescent="0.2">
      <c r="A190" s="607"/>
      <c r="B190" s="608"/>
      <c r="C190" s="608" t="s">
        <v>507</v>
      </c>
      <c r="G190" s="326">
        <v>295371</v>
      </c>
      <c r="L190" s="326">
        <v>1631807</v>
      </c>
      <c r="N190" s="325">
        <v>16005.947368421053</v>
      </c>
      <c r="P190" s="326">
        <v>123834.81360000001</v>
      </c>
      <c r="R190" s="325">
        <v>170.13157894736844</v>
      </c>
      <c r="T190" s="327">
        <v>11385.770099999998</v>
      </c>
      <c r="V190" s="328">
        <v>0</v>
      </c>
      <c r="X190" s="328">
        <v>0</v>
      </c>
      <c r="Z190" s="328">
        <v>0</v>
      </c>
      <c r="AB190" s="325">
        <v>8</v>
      </c>
      <c r="AC190" s="325"/>
      <c r="AD190" s="326">
        <v>800000</v>
      </c>
      <c r="AE190" s="324">
        <v>0</v>
      </c>
      <c r="AF190" s="325">
        <v>2577.7105263157896</v>
      </c>
      <c r="AG190" s="325"/>
      <c r="AH190" s="326">
        <v>19943.230800000001</v>
      </c>
      <c r="AJ190" s="326">
        <v>2586970.8145000003</v>
      </c>
      <c r="AL190" s="668">
        <v>0</v>
      </c>
      <c r="AM190" s="668">
        <v>0</v>
      </c>
      <c r="AN190" s="668">
        <v>0</v>
      </c>
      <c r="AO190" s="324">
        <v>64996</v>
      </c>
      <c r="AT190" s="668">
        <v>0</v>
      </c>
      <c r="AX190" s="324">
        <v>0</v>
      </c>
    </row>
    <row r="191" spans="1:51" x14ac:dyDescent="0.2">
      <c r="A191" s="607"/>
      <c r="B191" s="608"/>
      <c r="C191" s="608" t="s">
        <v>504</v>
      </c>
      <c r="G191" s="326">
        <v>1093191</v>
      </c>
      <c r="L191" s="326">
        <v>3895804</v>
      </c>
      <c r="N191" s="325">
        <v>45793.263157894718</v>
      </c>
      <c r="P191" s="326">
        <v>354293.31839999999</v>
      </c>
      <c r="R191" s="325">
        <v>700.65789473684208</v>
      </c>
      <c r="T191" s="327">
        <v>46890.352500000001</v>
      </c>
      <c r="V191" s="328">
        <v>0</v>
      </c>
      <c r="X191" s="328">
        <v>0</v>
      </c>
      <c r="Z191" s="328">
        <v>0</v>
      </c>
      <c r="AB191" s="325">
        <v>0</v>
      </c>
      <c r="AC191" s="325"/>
      <c r="AD191" s="326">
        <v>0</v>
      </c>
      <c r="AE191" s="324">
        <v>0</v>
      </c>
      <c r="AF191" s="325">
        <v>6677.1315789473692</v>
      </c>
      <c r="AG191" s="325"/>
      <c r="AH191" s="326">
        <v>51659.631600000008</v>
      </c>
      <c r="AJ191" s="326">
        <v>4348647.3025000002</v>
      </c>
      <c r="AL191" s="668">
        <v>0</v>
      </c>
      <c r="AM191" s="668">
        <v>0</v>
      </c>
      <c r="AN191" s="668">
        <v>0</v>
      </c>
      <c r="AO191" s="324">
        <v>0</v>
      </c>
      <c r="AT191" s="668">
        <v>2586970.8144999999</v>
      </c>
      <c r="AX191" s="324">
        <v>0</v>
      </c>
    </row>
    <row r="192" spans="1:51" x14ac:dyDescent="0.2">
      <c r="A192" s="331"/>
      <c r="B192" s="722"/>
      <c r="C192" s="722" t="s">
        <v>579</v>
      </c>
      <c r="G192" s="326">
        <v>317817</v>
      </c>
      <c r="L192" s="326">
        <v>1146013</v>
      </c>
      <c r="N192" s="325">
        <v>5640.3157894736833</v>
      </c>
      <c r="P192" s="326">
        <v>43637.995200000005</v>
      </c>
      <c r="R192" s="325">
        <v>78.15789473684211</v>
      </c>
      <c r="T192" s="327">
        <v>5230.5857999999989</v>
      </c>
      <c r="V192" s="328">
        <v>0</v>
      </c>
      <c r="X192" s="328">
        <v>0</v>
      </c>
      <c r="Z192" s="328">
        <v>0</v>
      </c>
      <c r="AB192" s="325">
        <v>0</v>
      </c>
      <c r="AC192" s="325"/>
      <c r="AD192" s="326">
        <v>0</v>
      </c>
      <c r="AE192" s="324">
        <v>0</v>
      </c>
      <c r="AF192" s="325">
        <v>1002.157894736842</v>
      </c>
      <c r="AG192" s="325"/>
      <c r="AH192" s="326">
        <v>7753.4951999999994</v>
      </c>
      <c r="AJ192" s="326">
        <v>1202635.0761999995</v>
      </c>
      <c r="AL192" s="668">
        <v>1219728.5973904319</v>
      </c>
      <c r="AM192" s="668">
        <v>-17093.521190432028</v>
      </c>
      <c r="AN192" s="668">
        <v>0</v>
      </c>
      <c r="AO192" s="324">
        <v>0</v>
      </c>
      <c r="AT192" s="668">
        <v>0</v>
      </c>
      <c r="AX192" s="324">
        <v>0</v>
      </c>
    </row>
    <row r="193" spans="1:50" x14ac:dyDescent="0.2">
      <c r="A193" s="607"/>
      <c r="B193" s="608"/>
      <c r="C193" s="608" t="s">
        <v>563</v>
      </c>
      <c r="G193" s="326">
        <v>746287</v>
      </c>
      <c r="L193" s="326">
        <v>2691035</v>
      </c>
      <c r="N193" s="325">
        <v>20939.78947368421</v>
      </c>
      <c r="P193" s="326">
        <v>162006.96319999994</v>
      </c>
      <c r="R193" s="325">
        <v>537.57894736842093</v>
      </c>
      <c r="T193" s="327">
        <v>35976.567919999987</v>
      </c>
      <c r="V193" s="328">
        <v>0</v>
      </c>
      <c r="X193" s="328">
        <v>0</v>
      </c>
      <c r="Z193" s="328">
        <v>0</v>
      </c>
      <c r="AB193" s="325">
        <v>0</v>
      </c>
      <c r="AC193" s="325"/>
      <c r="AD193" s="326">
        <v>0</v>
      </c>
      <c r="AE193" s="324">
        <v>0</v>
      </c>
      <c r="AF193" s="325">
        <v>2080.1578947368421</v>
      </c>
      <c r="AG193" s="325"/>
      <c r="AH193" s="326">
        <v>16093.765599999995</v>
      </c>
      <c r="AJ193" s="326">
        <v>2905112.2967199991</v>
      </c>
      <c r="AL193" s="668">
        <v>2732563.4473986463</v>
      </c>
      <c r="AM193" s="668">
        <v>172548.84932135366</v>
      </c>
      <c r="AN193" s="668">
        <v>0</v>
      </c>
      <c r="AO193" s="324">
        <v>0</v>
      </c>
      <c r="AT193" s="668">
        <v>0</v>
      </c>
      <c r="AX193" s="324">
        <v>0</v>
      </c>
    </row>
    <row r="194" spans="1:50" x14ac:dyDescent="0.2">
      <c r="A194" s="615"/>
      <c r="B194" s="616"/>
      <c r="C194" s="616"/>
      <c r="G194" s="326">
        <v>2452666</v>
      </c>
      <c r="H194" s="325">
        <v>0</v>
      </c>
      <c r="I194" s="325">
        <v>0</v>
      </c>
      <c r="J194" s="325">
        <v>0</v>
      </c>
      <c r="K194" s="325">
        <v>0</v>
      </c>
      <c r="L194" s="326">
        <v>9364659</v>
      </c>
      <c r="M194" s="325">
        <v>0</v>
      </c>
      <c r="N194" s="325">
        <v>88379.315789473665</v>
      </c>
      <c r="O194" s="325">
        <v>0</v>
      </c>
      <c r="P194" s="326">
        <v>683773.09039999987</v>
      </c>
      <c r="Q194" s="325">
        <v>0</v>
      </c>
      <c r="R194" s="325">
        <v>1486.5263157894735</v>
      </c>
      <c r="S194" s="325">
        <v>0</v>
      </c>
      <c r="T194" s="327">
        <v>99483.27631999999</v>
      </c>
      <c r="U194" s="324">
        <v>0</v>
      </c>
      <c r="V194" s="328">
        <v>0</v>
      </c>
      <c r="W194" s="324">
        <v>0</v>
      </c>
      <c r="X194" s="328">
        <v>0</v>
      </c>
      <c r="Y194" s="324">
        <v>0</v>
      </c>
      <c r="Z194" s="328">
        <v>0</v>
      </c>
      <c r="AA194" s="324">
        <v>0</v>
      </c>
      <c r="AB194" s="325">
        <v>8</v>
      </c>
      <c r="AC194" s="325">
        <v>0</v>
      </c>
      <c r="AD194" s="326">
        <v>800000</v>
      </c>
      <c r="AE194" s="324">
        <v>0</v>
      </c>
      <c r="AF194" s="325">
        <v>12337.157894736842</v>
      </c>
      <c r="AG194" s="325">
        <v>0</v>
      </c>
      <c r="AH194" s="326">
        <v>95450.123200000016</v>
      </c>
      <c r="AI194" s="324">
        <v>0</v>
      </c>
      <c r="AJ194" s="326">
        <v>11043365.489919998</v>
      </c>
      <c r="AK194" s="324">
        <v>0</v>
      </c>
      <c r="AL194" s="668">
        <v>3952292.0447890782</v>
      </c>
      <c r="AM194" s="668">
        <v>155455.32813092164</v>
      </c>
      <c r="AN194" s="668">
        <v>0</v>
      </c>
      <c r="AO194" s="324">
        <v>64996</v>
      </c>
      <c r="AT194" s="668">
        <v>2586970.8144999999</v>
      </c>
      <c r="AX194" s="324">
        <v>0</v>
      </c>
    </row>
    <row r="195" spans="1:50" x14ac:dyDescent="0.2">
      <c r="A195" s="331"/>
      <c r="B195" s="331"/>
      <c r="C195" s="616" t="s">
        <v>936</v>
      </c>
      <c r="G195" s="326">
        <v>-2772</v>
      </c>
      <c r="H195" s="325">
        <v>0</v>
      </c>
      <c r="I195" s="325">
        <v>0</v>
      </c>
      <c r="J195" s="325">
        <v>0</v>
      </c>
      <c r="K195" s="325">
        <v>0</v>
      </c>
      <c r="L195" s="326">
        <v>-9996</v>
      </c>
      <c r="M195" s="325">
        <v>0</v>
      </c>
      <c r="N195" s="325">
        <v>-180.9473684210534</v>
      </c>
      <c r="O195" s="325">
        <v>0</v>
      </c>
      <c r="P195" s="326">
        <v>-1399.9536000001244</v>
      </c>
      <c r="Q195" s="325">
        <v>0</v>
      </c>
      <c r="R195" s="325">
        <v>-4.736842105263122</v>
      </c>
      <c r="S195" s="325">
        <v>0</v>
      </c>
      <c r="T195" s="327">
        <v>-317.0051999999996</v>
      </c>
      <c r="U195" s="324">
        <v>0</v>
      </c>
      <c r="V195" s="328">
        <v>0</v>
      </c>
      <c r="W195" s="324">
        <v>0</v>
      </c>
      <c r="X195" s="328">
        <v>0</v>
      </c>
      <c r="Y195" s="324">
        <v>0</v>
      </c>
      <c r="Z195" s="328">
        <v>0</v>
      </c>
      <c r="AA195" s="324">
        <v>0</v>
      </c>
      <c r="AB195" s="325">
        <v>8</v>
      </c>
      <c r="AC195" s="325">
        <v>0</v>
      </c>
      <c r="AD195" s="326">
        <v>0</v>
      </c>
      <c r="AE195" s="324">
        <v>0</v>
      </c>
      <c r="AF195" s="325">
        <v>-4.7368421052669873</v>
      </c>
      <c r="AG195" s="325">
        <v>0</v>
      </c>
      <c r="AH195" s="326">
        <v>-36.648000000001048</v>
      </c>
      <c r="AI195" s="324">
        <v>0</v>
      </c>
      <c r="AJ195" s="326">
        <v>-11749.606799999252</v>
      </c>
      <c r="AK195" s="324">
        <v>0</v>
      </c>
      <c r="AL195" s="668">
        <v>0</v>
      </c>
      <c r="AM195" s="668">
        <v>-11749.60679999995</v>
      </c>
      <c r="AN195" s="668">
        <v>0</v>
      </c>
      <c r="AO195" s="324">
        <v>0</v>
      </c>
      <c r="AT195" s="668">
        <v>2522388.6704285685</v>
      </c>
      <c r="AX195" s="324">
        <v>0</v>
      </c>
    </row>
    <row r="196" spans="1:50" x14ac:dyDescent="0.2">
      <c r="A196" s="331"/>
      <c r="B196" s="331"/>
      <c r="C196" s="331"/>
      <c r="AB196" s="325"/>
      <c r="AC196" s="325"/>
      <c r="AD196" s="326"/>
      <c r="AF196" s="325"/>
      <c r="AG196" s="325"/>
      <c r="AH196" s="326"/>
      <c r="AX196" s="324">
        <f t="shared" ref="AX196:AX235" si="0">IF(AU196&gt;0,AU196,0)</f>
        <v>0</v>
      </c>
    </row>
    <row r="197" spans="1:50" x14ac:dyDescent="0.2">
      <c r="AB197" s="325"/>
      <c r="AC197" s="325"/>
      <c r="AD197" s="326"/>
      <c r="AF197" s="325"/>
      <c r="AG197" s="325"/>
      <c r="AH197" s="326"/>
      <c r="AX197" s="324">
        <f t="shared" si="0"/>
        <v>0</v>
      </c>
    </row>
    <row r="198" spans="1:50" x14ac:dyDescent="0.2">
      <c r="A198" s="332" t="s">
        <v>434</v>
      </c>
      <c r="C198" s="324">
        <v>4177</v>
      </c>
      <c r="AB198" s="325"/>
      <c r="AC198" s="325"/>
      <c r="AD198" s="326"/>
      <c r="AF198" s="325"/>
      <c r="AG198" s="325"/>
      <c r="AH198" s="326"/>
      <c r="AX198" s="324">
        <f t="shared" si="0"/>
        <v>0</v>
      </c>
    </row>
    <row r="199" spans="1:50" ht="15" x14ac:dyDescent="0.2">
      <c r="A199" s="758" t="s">
        <v>44</v>
      </c>
      <c r="C199" s="759">
        <v>2400</v>
      </c>
      <c r="AB199" s="325"/>
      <c r="AC199" s="325"/>
      <c r="AD199" s="326"/>
      <c r="AF199" s="325"/>
      <c r="AG199" s="325"/>
      <c r="AH199" s="326"/>
      <c r="AX199" s="324">
        <f t="shared" si="0"/>
        <v>0</v>
      </c>
    </row>
    <row r="200" spans="1:50" ht="15" x14ac:dyDescent="0.2">
      <c r="A200" s="758" t="s">
        <v>45</v>
      </c>
      <c r="C200" s="759">
        <v>2443</v>
      </c>
      <c r="AB200" s="325"/>
      <c r="AC200" s="325"/>
      <c r="AD200" s="326"/>
      <c r="AF200" s="325"/>
      <c r="AG200" s="325"/>
      <c r="AH200" s="326"/>
      <c r="AX200" s="324">
        <f t="shared" si="0"/>
        <v>0</v>
      </c>
    </row>
    <row r="201" spans="1:50" ht="15" x14ac:dyDescent="0.2">
      <c r="A201" s="758" t="s">
        <v>46</v>
      </c>
      <c r="C201" s="759">
        <v>2442</v>
      </c>
      <c r="AB201" s="325"/>
      <c r="AC201" s="325"/>
      <c r="AD201" s="326"/>
      <c r="AF201" s="325"/>
      <c r="AG201" s="325"/>
      <c r="AH201" s="326"/>
      <c r="AX201" s="324">
        <f t="shared" si="0"/>
        <v>0</v>
      </c>
    </row>
    <row r="202" spans="1:50" ht="15" x14ac:dyDescent="0.2">
      <c r="A202" s="758" t="s">
        <v>47</v>
      </c>
      <c r="C202" s="759">
        <v>2629</v>
      </c>
      <c r="AB202" s="325"/>
      <c r="AC202" s="325"/>
      <c r="AD202" s="326"/>
      <c r="AF202" s="325"/>
      <c r="AG202" s="325"/>
      <c r="AH202" s="326"/>
      <c r="AX202" s="324">
        <f t="shared" si="0"/>
        <v>0</v>
      </c>
    </row>
    <row r="203" spans="1:50" ht="15" x14ac:dyDescent="0.2">
      <c r="A203" s="758" t="s">
        <v>48</v>
      </c>
      <c r="C203" s="759">
        <v>2509</v>
      </c>
      <c r="AB203" s="325"/>
      <c r="AC203" s="325"/>
      <c r="AD203" s="326"/>
      <c r="AF203" s="325"/>
      <c r="AG203" s="325"/>
      <c r="AH203" s="326"/>
      <c r="AX203" s="324">
        <f t="shared" si="0"/>
        <v>0</v>
      </c>
    </row>
    <row r="204" spans="1:50" ht="15" x14ac:dyDescent="0.2">
      <c r="A204" s="758" t="s">
        <v>49</v>
      </c>
      <c r="C204" s="759">
        <v>2005</v>
      </c>
      <c r="AB204" s="325"/>
      <c r="AC204" s="325"/>
      <c r="AD204" s="326"/>
      <c r="AF204" s="325"/>
      <c r="AG204" s="325"/>
      <c r="AH204" s="326"/>
      <c r="AX204" s="324">
        <f t="shared" si="0"/>
        <v>0</v>
      </c>
    </row>
    <row r="205" spans="1:50" ht="15" x14ac:dyDescent="0.2">
      <c r="A205" s="758" t="s">
        <v>50</v>
      </c>
      <c r="C205" s="759">
        <v>2464</v>
      </c>
      <c r="AB205" s="325"/>
      <c r="AC205" s="325"/>
      <c r="AD205" s="326"/>
      <c r="AF205" s="325"/>
      <c r="AG205" s="325"/>
      <c r="AH205" s="326"/>
      <c r="AX205" s="324">
        <f t="shared" si="0"/>
        <v>0</v>
      </c>
    </row>
    <row r="206" spans="1:50" ht="15" x14ac:dyDescent="0.2">
      <c r="A206" s="758" t="s">
        <v>51</v>
      </c>
      <c r="C206" s="759">
        <v>2004</v>
      </c>
      <c r="AB206" s="325"/>
      <c r="AC206" s="325"/>
      <c r="AD206" s="326"/>
      <c r="AF206" s="325"/>
      <c r="AG206" s="325"/>
      <c r="AH206" s="326"/>
      <c r="AX206" s="324">
        <f t="shared" si="0"/>
        <v>0</v>
      </c>
    </row>
    <row r="207" spans="1:50" ht="15" x14ac:dyDescent="0.2">
      <c r="A207" s="758" t="s">
        <v>52</v>
      </c>
      <c r="C207" s="759">
        <v>2405</v>
      </c>
      <c r="AB207" s="325"/>
      <c r="AC207" s="325"/>
      <c r="AD207" s="326"/>
      <c r="AF207" s="325"/>
      <c r="AG207" s="325"/>
      <c r="AH207" s="326"/>
      <c r="AX207" s="324">
        <f t="shared" si="0"/>
        <v>0</v>
      </c>
    </row>
    <row r="208" spans="1:50" ht="15" x14ac:dyDescent="0.2">
      <c r="A208" s="758" t="s">
        <v>53</v>
      </c>
      <c r="C208" s="759">
        <v>3525</v>
      </c>
      <c r="AB208" s="325"/>
      <c r="AC208" s="325"/>
      <c r="AD208" s="326"/>
      <c r="AF208" s="325"/>
      <c r="AG208" s="325"/>
      <c r="AH208" s="326"/>
      <c r="AX208" s="324">
        <f t="shared" si="0"/>
        <v>0</v>
      </c>
    </row>
    <row r="209" spans="1:50" ht="15" x14ac:dyDescent="0.2">
      <c r="A209" s="758" t="s">
        <v>54</v>
      </c>
      <c r="C209" s="759">
        <v>5201</v>
      </c>
      <c r="AB209" s="325"/>
      <c r="AC209" s="325"/>
      <c r="AD209" s="326"/>
      <c r="AF209" s="325"/>
      <c r="AG209" s="325"/>
      <c r="AH209" s="326"/>
      <c r="AX209" s="324">
        <f t="shared" si="0"/>
        <v>0</v>
      </c>
    </row>
    <row r="210" spans="1:50" ht="15" x14ac:dyDescent="0.2">
      <c r="A210" s="760" t="s">
        <v>55</v>
      </c>
      <c r="C210" s="761">
        <v>2007</v>
      </c>
      <c r="AB210" s="325"/>
      <c r="AC210" s="325"/>
      <c r="AD210" s="326"/>
      <c r="AF210" s="325"/>
      <c r="AG210" s="325"/>
      <c r="AH210" s="326"/>
      <c r="AX210" s="324">
        <f t="shared" si="0"/>
        <v>0</v>
      </c>
    </row>
    <row r="211" spans="1:50" ht="15" x14ac:dyDescent="0.2">
      <c r="A211" s="758" t="s">
        <v>56</v>
      </c>
      <c r="C211" s="759">
        <v>2433</v>
      </c>
      <c r="AB211" s="325"/>
      <c r="AC211" s="325"/>
      <c r="AD211" s="326"/>
      <c r="AF211" s="325"/>
      <c r="AG211" s="325"/>
      <c r="AH211" s="326"/>
      <c r="AX211" s="324">
        <f t="shared" si="0"/>
        <v>0</v>
      </c>
    </row>
    <row r="212" spans="1:50" ht="15" x14ac:dyDescent="0.2">
      <c r="A212" s="758" t="s">
        <v>57</v>
      </c>
      <c r="C212" s="759">
        <v>2432</v>
      </c>
      <c r="AB212" s="325"/>
      <c r="AC212" s="325"/>
      <c r="AD212" s="326"/>
      <c r="AF212" s="325"/>
      <c r="AG212" s="325"/>
      <c r="AH212" s="326"/>
      <c r="AX212" s="324">
        <f t="shared" si="0"/>
        <v>0</v>
      </c>
    </row>
    <row r="213" spans="1:50" ht="15" x14ac:dyDescent="0.2">
      <c r="A213" s="758" t="s">
        <v>58</v>
      </c>
      <c r="C213" s="759">
        <v>2446</v>
      </c>
      <c r="AB213" s="325"/>
      <c r="AC213" s="325"/>
      <c r="AD213" s="326"/>
      <c r="AF213" s="325"/>
      <c r="AG213" s="325"/>
      <c r="AH213" s="326"/>
      <c r="AX213" s="324">
        <f t="shared" si="0"/>
        <v>0</v>
      </c>
    </row>
    <row r="214" spans="1:50" ht="15" x14ac:dyDescent="0.2">
      <c r="A214" s="758" t="s">
        <v>59</v>
      </c>
      <c r="C214" s="759">
        <v>2447</v>
      </c>
      <c r="AB214" s="325"/>
      <c r="AC214" s="325"/>
      <c r="AD214" s="326"/>
      <c r="AF214" s="325"/>
      <c r="AG214" s="325"/>
      <c r="AH214" s="326"/>
      <c r="AX214" s="324">
        <f t="shared" si="0"/>
        <v>0</v>
      </c>
    </row>
    <row r="215" spans="1:50" ht="15" x14ac:dyDescent="0.2">
      <c r="A215" s="758" t="s">
        <v>60</v>
      </c>
      <c r="C215" s="759">
        <v>2512</v>
      </c>
      <c r="AB215" s="325"/>
      <c r="AC215" s="325"/>
      <c r="AD215" s="326"/>
      <c r="AF215" s="325"/>
      <c r="AG215" s="325"/>
      <c r="AH215" s="326"/>
      <c r="AX215" s="324">
        <f t="shared" si="0"/>
        <v>0</v>
      </c>
    </row>
    <row r="216" spans="1:50" ht="15" x14ac:dyDescent="0.2">
      <c r="A216" s="758" t="s">
        <v>61</v>
      </c>
      <c r="C216" s="759">
        <v>2456</v>
      </c>
      <c r="AB216" s="325"/>
      <c r="AC216" s="325"/>
      <c r="AD216" s="326"/>
      <c r="AF216" s="325"/>
      <c r="AG216" s="325"/>
      <c r="AH216" s="326"/>
      <c r="AX216" s="324">
        <f t="shared" si="0"/>
        <v>0</v>
      </c>
    </row>
    <row r="217" spans="1:50" ht="15" x14ac:dyDescent="0.2">
      <c r="A217" s="758" t="s">
        <v>62</v>
      </c>
      <c r="C217" s="759">
        <v>2449</v>
      </c>
      <c r="AB217" s="325"/>
      <c r="AC217" s="325"/>
      <c r="AD217" s="326"/>
      <c r="AF217" s="325"/>
      <c r="AG217" s="325"/>
      <c r="AH217" s="326"/>
      <c r="AX217" s="324">
        <f t="shared" si="0"/>
        <v>0</v>
      </c>
    </row>
    <row r="218" spans="1:50" ht="15" x14ac:dyDescent="0.2">
      <c r="A218" s="758" t="s">
        <v>63</v>
      </c>
      <c r="C218" s="759">
        <v>2448</v>
      </c>
      <c r="AB218" s="325"/>
      <c r="AC218" s="325"/>
      <c r="AD218" s="326"/>
      <c r="AF218" s="325"/>
      <c r="AG218" s="325"/>
      <c r="AH218" s="326"/>
      <c r="AX218" s="324">
        <f t="shared" si="0"/>
        <v>0</v>
      </c>
    </row>
    <row r="219" spans="1:50" ht="15" x14ac:dyDescent="0.2">
      <c r="A219" s="758" t="s">
        <v>64</v>
      </c>
      <c r="C219" s="759">
        <v>2467</v>
      </c>
      <c r="AB219" s="325"/>
      <c r="AC219" s="325"/>
      <c r="AD219" s="326"/>
      <c r="AF219" s="325"/>
      <c r="AG219" s="325"/>
      <c r="AH219" s="326"/>
      <c r="AX219" s="324">
        <f t="shared" si="0"/>
        <v>0</v>
      </c>
    </row>
    <row r="220" spans="1:50" ht="15" x14ac:dyDescent="0.2">
      <c r="A220" s="758" t="s">
        <v>65</v>
      </c>
      <c r="C220" s="759">
        <v>2455</v>
      </c>
      <c r="AB220" s="325"/>
      <c r="AC220" s="325"/>
      <c r="AD220" s="326"/>
      <c r="AF220" s="325"/>
      <c r="AG220" s="325"/>
      <c r="AH220" s="326"/>
      <c r="AX220" s="324">
        <f t="shared" si="0"/>
        <v>0</v>
      </c>
    </row>
    <row r="221" spans="1:50" ht="15" x14ac:dyDescent="0.2">
      <c r="A221" s="758" t="s">
        <v>66</v>
      </c>
      <c r="C221" s="759">
        <v>5203</v>
      </c>
      <c r="AB221" s="325"/>
      <c r="AC221" s="325"/>
      <c r="AD221" s="326"/>
      <c r="AF221" s="325"/>
      <c r="AG221" s="325"/>
      <c r="AH221" s="326"/>
      <c r="AX221" s="324">
        <f t="shared" si="0"/>
        <v>0</v>
      </c>
    </row>
    <row r="222" spans="1:50" ht="15" x14ac:dyDescent="0.2">
      <c r="A222" s="758" t="s">
        <v>67</v>
      </c>
      <c r="C222" s="759">
        <v>2451</v>
      </c>
      <c r="AB222" s="325"/>
      <c r="AC222" s="325"/>
      <c r="AD222" s="326"/>
      <c r="AF222" s="325"/>
      <c r="AG222" s="325"/>
      <c r="AH222" s="326"/>
      <c r="AX222" s="324">
        <f t="shared" si="0"/>
        <v>0</v>
      </c>
    </row>
    <row r="223" spans="1:50" ht="15" x14ac:dyDescent="0.2">
      <c r="A223" s="758" t="s">
        <v>68</v>
      </c>
      <c r="C223" s="759">
        <v>2409</v>
      </c>
      <c r="AB223" s="325"/>
      <c r="AC223" s="325"/>
      <c r="AD223" s="326"/>
      <c r="AF223" s="325"/>
      <c r="AG223" s="325"/>
      <c r="AH223" s="326"/>
      <c r="AX223" s="324">
        <f t="shared" si="0"/>
        <v>0</v>
      </c>
    </row>
    <row r="224" spans="1:50" ht="15" x14ac:dyDescent="0.2">
      <c r="A224" s="758" t="s">
        <v>69</v>
      </c>
      <c r="C224" s="759">
        <v>2619</v>
      </c>
      <c r="AB224" s="325"/>
      <c r="AC224" s="325"/>
      <c r="AD224" s="326"/>
      <c r="AF224" s="325"/>
      <c r="AG224" s="325"/>
      <c r="AH224" s="326"/>
      <c r="AX224" s="324">
        <f t="shared" si="0"/>
        <v>0</v>
      </c>
    </row>
    <row r="225" spans="1:50" ht="15" x14ac:dyDescent="0.2">
      <c r="A225" s="758" t="s">
        <v>70</v>
      </c>
      <c r="C225" s="759">
        <v>2518</v>
      </c>
      <c r="AB225" s="325"/>
      <c r="AC225" s="325"/>
      <c r="AD225" s="326"/>
      <c r="AF225" s="325"/>
      <c r="AG225" s="325"/>
      <c r="AH225" s="326"/>
      <c r="AX225" s="324">
        <f t="shared" si="0"/>
        <v>0</v>
      </c>
    </row>
    <row r="226" spans="1:50" ht="15" x14ac:dyDescent="0.2">
      <c r="A226" s="758" t="s">
        <v>71</v>
      </c>
      <c r="C226" s="759">
        <v>2457</v>
      </c>
      <c r="AB226" s="325"/>
      <c r="AC226" s="325"/>
      <c r="AD226" s="326"/>
      <c r="AF226" s="325"/>
      <c r="AG226" s="325"/>
      <c r="AH226" s="326"/>
      <c r="AX226" s="324">
        <f t="shared" si="0"/>
        <v>0</v>
      </c>
    </row>
    <row r="227" spans="1:50" ht="15" x14ac:dyDescent="0.2">
      <c r="A227" s="758" t="s">
        <v>72</v>
      </c>
      <c r="C227" s="759">
        <v>2515</v>
      </c>
      <c r="AB227" s="325"/>
      <c r="AC227" s="325"/>
      <c r="AD227" s="326"/>
      <c r="AF227" s="325"/>
      <c r="AG227" s="325"/>
      <c r="AH227" s="326"/>
      <c r="AX227" s="324">
        <f t="shared" si="0"/>
        <v>0</v>
      </c>
    </row>
    <row r="228" spans="1:50" ht="15" x14ac:dyDescent="0.2">
      <c r="A228" s="758" t="s">
        <v>73</v>
      </c>
      <c r="C228" s="759">
        <v>2002</v>
      </c>
      <c r="AB228" s="325"/>
      <c r="AC228" s="325"/>
      <c r="AD228" s="326"/>
      <c r="AF228" s="325"/>
      <c r="AG228" s="325"/>
      <c r="AH228" s="326"/>
      <c r="AX228" s="324">
        <f t="shared" si="0"/>
        <v>0</v>
      </c>
    </row>
    <row r="229" spans="1:50" ht="15" x14ac:dyDescent="0.2">
      <c r="A229" s="758" t="s">
        <v>74</v>
      </c>
      <c r="C229" s="759">
        <v>3544</v>
      </c>
      <c r="AB229" s="325"/>
      <c r="AC229" s="325"/>
      <c r="AD229" s="326"/>
      <c r="AF229" s="325"/>
      <c r="AG229" s="325"/>
      <c r="AH229" s="326"/>
      <c r="AX229" s="324">
        <f t="shared" si="0"/>
        <v>0</v>
      </c>
    </row>
    <row r="230" spans="1:50" ht="15" x14ac:dyDescent="0.2">
      <c r="A230" s="758" t="s">
        <v>75</v>
      </c>
      <c r="C230" s="759">
        <v>2006</v>
      </c>
      <c r="AB230" s="325"/>
      <c r="AC230" s="325"/>
      <c r="AD230" s="326"/>
      <c r="AF230" s="325"/>
      <c r="AG230" s="325"/>
      <c r="AH230" s="326"/>
      <c r="AX230" s="324">
        <f t="shared" si="0"/>
        <v>0</v>
      </c>
    </row>
    <row r="231" spans="1:50" ht="15" x14ac:dyDescent="0.2">
      <c r="A231" s="758" t="s">
        <v>76</v>
      </c>
      <c r="C231" s="759">
        <v>2434</v>
      </c>
      <c r="AB231" s="325"/>
      <c r="AC231" s="325"/>
      <c r="AD231" s="326"/>
      <c r="AF231" s="325"/>
      <c r="AG231" s="325"/>
      <c r="AH231" s="326"/>
      <c r="AX231" s="324">
        <f t="shared" si="0"/>
        <v>0</v>
      </c>
    </row>
    <row r="232" spans="1:50" ht="15" x14ac:dyDescent="0.2">
      <c r="A232" s="758" t="s">
        <v>77</v>
      </c>
      <c r="C232" s="759">
        <v>2522</v>
      </c>
      <c r="AB232" s="325"/>
      <c r="AC232" s="325"/>
      <c r="AD232" s="326"/>
      <c r="AF232" s="325"/>
      <c r="AG232" s="325"/>
      <c r="AH232" s="326"/>
      <c r="AX232" s="324">
        <f t="shared" si="0"/>
        <v>0</v>
      </c>
    </row>
    <row r="233" spans="1:50" ht="15" x14ac:dyDescent="0.2">
      <c r="A233" s="758" t="s">
        <v>78</v>
      </c>
      <c r="C233" s="759">
        <v>2436</v>
      </c>
      <c r="AB233" s="325"/>
      <c r="AC233" s="325"/>
      <c r="AD233" s="326"/>
      <c r="AF233" s="325"/>
      <c r="AG233" s="325"/>
      <c r="AH233" s="326"/>
      <c r="AX233" s="324">
        <f t="shared" si="0"/>
        <v>0</v>
      </c>
    </row>
    <row r="234" spans="1:50" ht="15" x14ac:dyDescent="0.2">
      <c r="A234" s="758" t="s">
        <v>79</v>
      </c>
      <c r="C234" s="759">
        <v>2452</v>
      </c>
      <c r="AB234" s="325"/>
      <c r="AC234" s="325"/>
      <c r="AD234" s="326"/>
      <c r="AF234" s="325"/>
      <c r="AG234" s="325"/>
      <c r="AH234" s="326"/>
      <c r="AX234" s="324">
        <f t="shared" si="0"/>
        <v>0</v>
      </c>
    </row>
    <row r="235" spans="1:50" ht="15" x14ac:dyDescent="0.2">
      <c r="A235" s="758" t="s">
        <v>80</v>
      </c>
      <c r="C235" s="759">
        <v>2627</v>
      </c>
      <c r="AB235" s="325"/>
      <c r="AC235" s="325"/>
      <c r="AD235" s="326"/>
      <c r="AF235" s="325"/>
      <c r="AG235" s="325"/>
      <c r="AH235" s="326"/>
      <c r="AX235" s="324">
        <f t="shared" si="0"/>
        <v>0</v>
      </c>
    </row>
    <row r="236" spans="1:50" ht="15" x14ac:dyDescent="0.2">
      <c r="A236" s="760" t="s">
        <v>81</v>
      </c>
      <c r="C236" s="761">
        <v>2009</v>
      </c>
      <c r="AB236" s="325"/>
      <c r="AC236" s="325"/>
      <c r="AD236" s="326"/>
      <c r="AF236" s="325"/>
      <c r="AG236" s="325"/>
      <c r="AH236" s="326"/>
      <c r="AX236" s="324">
        <f t="shared" ref="AX236:AX299" si="1">IF(AU236&gt;0,AU236,0)</f>
        <v>0</v>
      </c>
    </row>
    <row r="237" spans="1:50" ht="15" x14ac:dyDescent="0.2">
      <c r="A237" s="758" t="s">
        <v>82</v>
      </c>
      <c r="C237" s="759">
        <v>2420</v>
      </c>
      <c r="AB237" s="325"/>
      <c r="AC237" s="325"/>
      <c r="AD237" s="326"/>
      <c r="AF237" s="325"/>
      <c r="AG237" s="325"/>
      <c r="AH237" s="326"/>
      <c r="AX237" s="324">
        <f t="shared" si="1"/>
        <v>0</v>
      </c>
    </row>
    <row r="238" spans="1:50" ht="15" x14ac:dyDescent="0.2">
      <c r="A238" s="758" t="s">
        <v>83</v>
      </c>
      <c r="C238" s="759">
        <v>2473</v>
      </c>
      <c r="AB238" s="325"/>
      <c r="AC238" s="325"/>
      <c r="AD238" s="326"/>
      <c r="AF238" s="325"/>
      <c r="AG238" s="325"/>
      <c r="AH238" s="326"/>
      <c r="AX238" s="324">
        <f t="shared" si="1"/>
        <v>0</v>
      </c>
    </row>
    <row r="239" spans="1:50" ht="15" x14ac:dyDescent="0.2">
      <c r="A239" s="758" t="s">
        <v>84</v>
      </c>
      <c r="C239" s="759">
        <v>2471</v>
      </c>
      <c r="AB239" s="325"/>
      <c r="AC239" s="325"/>
      <c r="AD239" s="326"/>
      <c r="AF239" s="325"/>
      <c r="AG239" s="325"/>
      <c r="AH239" s="326"/>
      <c r="AX239" s="324">
        <f t="shared" si="1"/>
        <v>0</v>
      </c>
    </row>
    <row r="240" spans="1:50" ht="15" x14ac:dyDescent="0.2">
      <c r="A240" s="758" t="s">
        <v>85</v>
      </c>
      <c r="C240" s="759">
        <v>2003</v>
      </c>
      <c r="AB240" s="325"/>
      <c r="AC240" s="325"/>
      <c r="AD240" s="326"/>
      <c r="AF240" s="325"/>
      <c r="AG240" s="325"/>
      <c r="AH240" s="326"/>
      <c r="AX240" s="324">
        <f t="shared" si="1"/>
        <v>0</v>
      </c>
    </row>
    <row r="241" spans="1:50" ht="15" x14ac:dyDescent="0.2">
      <c r="A241" s="758" t="s">
        <v>86</v>
      </c>
      <c r="C241" s="759">
        <v>2423</v>
      </c>
      <c r="AB241" s="325"/>
      <c r="AC241" s="325"/>
      <c r="AD241" s="326"/>
      <c r="AF241" s="325"/>
      <c r="AG241" s="325"/>
      <c r="AH241" s="326"/>
      <c r="AX241" s="324">
        <f t="shared" si="1"/>
        <v>0</v>
      </c>
    </row>
    <row r="242" spans="1:50" ht="15" x14ac:dyDescent="0.2">
      <c r="A242" s="758" t="s">
        <v>87</v>
      </c>
      <c r="C242" s="759">
        <v>2424</v>
      </c>
      <c r="AB242" s="325"/>
      <c r="AC242" s="325"/>
      <c r="AD242" s="326"/>
      <c r="AF242" s="325"/>
      <c r="AG242" s="325"/>
      <c r="AH242" s="326"/>
      <c r="AX242" s="324">
        <f t="shared" si="1"/>
        <v>0</v>
      </c>
    </row>
    <row r="243" spans="1:50" ht="15" x14ac:dyDescent="0.2">
      <c r="A243" s="758" t="s">
        <v>88</v>
      </c>
      <c r="C243" s="759">
        <v>2439</v>
      </c>
      <c r="AB243" s="325"/>
      <c r="AC243" s="325"/>
      <c r="AD243" s="326"/>
      <c r="AF243" s="325"/>
      <c r="AG243" s="325"/>
      <c r="AH243" s="326"/>
      <c r="AX243" s="324">
        <f t="shared" si="1"/>
        <v>0</v>
      </c>
    </row>
    <row r="244" spans="1:50" ht="15" x14ac:dyDescent="0.2">
      <c r="A244" s="758" t="s">
        <v>89</v>
      </c>
      <c r="C244" s="759">
        <v>2440</v>
      </c>
      <c r="AB244" s="325"/>
      <c r="AC244" s="325"/>
      <c r="AD244" s="326"/>
      <c r="AF244" s="325"/>
      <c r="AG244" s="325"/>
      <c r="AH244" s="326"/>
      <c r="AX244" s="324">
        <f t="shared" si="1"/>
        <v>0</v>
      </c>
    </row>
    <row r="245" spans="1:50" ht="15" x14ac:dyDescent="0.2">
      <c r="A245" s="758" t="s">
        <v>90</v>
      </c>
      <c r="C245" s="759">
        <v>2462</v>
      </c>
      <c r="AB245" s="325"/>
      <c r="AC245" s="325"/>
      <c r="AD245" s="326"/>
      <c r="AF245" s="325"/>
      <c r="AG245" s="325"/>
      <c r="AH245" s="326"/>
      <c r="AX245" s="324">
        <f t="shared" si="1"/>
        <v>0</v>
      </c>
    </row>
    <row r="246" spans="1:50" ht="15" x14ac:dyDescent="0.2">
      <c r="A246" s="762" t="s">
        <v>91</v>
      </c>
      <c r="C246" s="763">
        <v>2463</v>
      </c>
      <c r="AB246" s="325"/>
      <c r="AC246" s="325"/>
      <c r="AD246" s="326"/>
      <c r="AF246" s="325"/>
      <c r="AG246" s="325"/>
      <c r="AH246" s="326"/>
      <c r="AX246" s="324">
        <f t="shared" si="1"/>
        <v>0</v>
      </c>
    </row>
    <row r="247" spans="1:50" ht="15" x14ac:dyDescent="0.2">
      <c r="A247" s="762" t="s">
        <v>92</v>
      </c>
      <c r="C247" s="763">
        <v>2505</v>
      </c>
      <c r="AB247" s="325"/>
      <c r="AC247" s="325"/>
      <c r="AD247" s="326"/>
      <c r="AF247" s="325"/>
      <c r="AG247" s="325"/>
      <c r="AH247" s="326"/>
      <c r="AX247" s="324">
        <f t="shared" si="1"/>
        <v>0</v>
      </c>
    </row>
    <row r="248" spans="1:50" x14ac:dyDescent="0.2">
      <c r="A248" s="656" t="s">
        <v>93</v>
      </c>
      <c r="C248" s="764">
        <v>2000</v>
      </c>
      <c r="AB248" s="325"/>
      <c r="AC248" s="325"/>
      <c r="AD248" s="326"/>
      <c r="AF248" s="325"/>
      <c r="AG248" s="325"/>
      <c r="AH248" s="326"/>
      <c r="AX248" s="324">
        <f t="shared" si="1"/>
        <v>0</v>
      </c>
    </row>
    <row r="249" spans="1:50" x14ac:dyDescent="0.2">
      <c r="A249" s="656" t="s">
        <v>94</v>
      </c>
      <c r="C249" s="764">
        <v>2458</v>
      </c>
      <c r="AB249" s="325"/>
      <c r="AC249" s="325"/>
      <c r="AD249" s="326"/>
      <c r="AF249" s="325"/>
      <c r="AG249" s="325"/>
      <c r="AH249" s="326"/>
      <c r="AX249" s="324">
        <f t="shared" si="1"/>
        <v>0</v>
      </c>
    </row>
    <row r="250" spans="1:50" ht="15" x14ac:dyDescent="0.2">
      <c r="A250" s="829" t="s">
        <v>95</v>
      </c>
      <c r="B250" s="331"/>
      <c r="C250" s="830">
        <v>2001</v>
      </c>
      <c r="D250" s="331"/>
      <c r="E250" s="428"/>
      <c r="F250" s="428"/>
      <c r="G250" s="660"/>
      <c r="H250" s="428"/>
      <c r="I250" s="428"/>
      <c r="J250" s="428"/>
      <c r="K250" s="428"/>
      <c r="L250" s="660"/>
      <c r="M250" s="428"/>
      <c r="N250" s="428"/>
      <c r="O250" s="428"/>
      <c r="P250" s="660"/>
      <c r="Q250" s="428"/>
      <c r="R250" s="428"/>
      <c r="S250" s="428"/>
      <c r="T250" s="831"/>
      <c r="U250" s="331"/>
      <c r="V250" s="832"/>
      <c r="W250" s="331"/>
      <c r="X250" s="832"/>
      <c r="Y250" s="331"/>
      <c r="Z250" s="832"/>
      <c r="AA250" s="331"/>
      <c r="AB250" s="428"/>
      <c r="AC250" s="428"/>
      <c r="AD250" s="660"/>
      <c r="AE250" s="331"/>
      <c r="AF250" s="428"/>
      <c r="AG250" s="428"/>
      <c r="AH250" s="660"/>
      <c r="AI250" s="331"/>
      <c r="AJ250" s="660"/>
      <c r="AK250" s="331"/>
      <c r="AL250" s="330"/>
      <c r="AM250" s="330"/>
      <c r="AN250" s="330"/>
      <c r="AO250" s="331"/>
      <c r="AP250" s="331"/>
      <c r="AQ250" s="331"/>
      <c r="AR250" s="331"/>
      <c r="AS250" s="331"/>
      <c r="AT250" s="330"/>
      <c r="AU250" s="331"/>
      <c r="AV250" s="331"/>
      <c r="AW250" s="331"/>
      <c r="AX250" s="331">
        <f t="shared" si="1"/>
        <v>0</v>
      </c>
    </row>
    <row r="251" spans="1:50" ht="15" x14ac:dyDescent="0.2">
      <c r="A251" s="829" t="s">
        <v>96</v>
      </c>
      <c r="B251" s="331"/>
      <c r="C251" s="830">
        <v>2429</v>
      </c>
      <c r="D251" s="331"/>
      <c r="E251" s="428"/>
      <c r="F251" s="428"/>
      <c r="G251" s="660"/>
      <c r="H251" s="428"/>
      <c r="I251" s="428"/>
      <c r="J251" s="428"/>
      <c r="K251" s="428"/>
      <c r="L251" s="660"/>
      <c r="M251" s="428"/>
      <c r="N251" s="428"/>
      <c r="O251" s="428"/>
      <c r="P251" s="660"/>
      <c r="Q251" s="428"/>
      <c r="R251" s="428"/>
      <c r="S251" s="428"/>
      <c r="T251" s="831"/>
      <c r="U251" s="331"/>
      <c r="V251" s="832"/>
      <c r="W251" s="331"/>
      <c r="X251" s="832"/>
      <c r="Y251" s="331"/>
      <c r="Z251" s="832"/>
      <c r="AA251" s="331"/>
      <c r="AB251" s="428"/>
      <c r="AC251" s="428"/>
      <c r="AD251" s="660"/>
      <c r="AE251" s="331"/>
      <c r="AF251" s="428"/>
      <c r="AG251" s="428"/>
      <c r="AH251" s="660"/>
      <c r="AI251" s="331"/>
      <c r="AJ251" s="660"/>
      <c r="AK251" s="331"/>
      <c r="AL251" s="330"/>
      <c r="AM251" s="330"/>
      <c r="AN251" s="330"/>
      <c r="AO251" s="331"/>
      <c r="AP251" s="331"/>
      <c r="AQ251" s="331"/>
      <c r="AR251" s="331"/>
      <c r="AS251" s="331"/>
      <c r="AT251" s="330"/>
      <c r="AU251" s="331"/>
      <c r="AV251" s="331"/>
      <c r="AW251" s="331"/>
      <c r="AX251" s="331">
        <f t="shared" si="1"/>
        <v>0</v>
      </c>
    </row>
    <row r="252" spans="1:50" ht="15" x14ac:dyDescent="0.2">
      <c r="A252" s="829" t="s">
        <v>97</v>
      </c>
      <c r="B252" s="331"/>
      <c r="C252" s="830">
        <v>2444</v>
      </c>
      <c r="D252" s="331"/>
      <c r="E252" s="428"/>
      <c r="F252" s="428"/>
      <c r="G252" s="660"/>
      <c r="H252" s="428"/>
      <c r="I252" s="428"/>
      <c r="J252" s="428"/>
      <c r="K252" s="428"/>
      <c r="L252" s="660"/>
      <c r="M252" s="428"/>
      <c r="N252" s="428"/>
      <c r="O252" s="428"/>
      <c r="P252" s="660"/>
      <c r="Q252" s="428"/>
      <c r="R252" s="428"/>
      <c r="S252" s="428"/>
      <c r="T252" s="831"/>
      <c r="U252" s="331"/>
      <c r="V252" s="832"/>
      <c r="W252" s="331"/>
      <c r="X252" s="832"/>
      <c r="Y252" s="331"/>
      <c r="Z252" s="832"/>
      <c r="AA252" s="331"/>
      <c r="AB252" s="428"/>
      <c r="AC252" s="428"/>
      <c r="AD252" s="660"/>
      <c r="AE252" s="331"/>
      <c r="AF252" s="428"/>
      <c r="AG252" s="428"/>
      <c r="AH252" s="660"/>
      <c r="AI252" s="331"/>
      <c r="AJ252" s="660"/>
      <c r="AK252" s="331"/>
      <c r="AL252" s="330"/>
      <c r="AM252" s="330"/>
      <c r="AN252" s="330"/>
      <c r="AO252" s="331"/>
      <c r="AP252" s="331"/>
      <c r="AQ252" s="331"/>
      <c r="AR252" s="331"/>
      <c r="AS252" s="331"/>
      <c r="AT252" s="330"/>
      <c r="AU252" s="331"/>
      <c r="AV252" s="331"/>
      <c r="AW252" s="331"/>
      <c r="AX252" s="331">
        <f t="shared" si="1"/>
        <v>0</v>
      </c>
    </row>
    <row r="253" spans="1:50" ht="15" x14ac:dyDescent="0.2">
      <c r="A253" s="829" t="s">
        <v>98</v>
      </c>
      <c r="B253" s="331"/>
      <c r="C253" s="830">
        <v>5209</v>
      </c>
      <c r="D253" s="331"/>
      <c r="E253" s="428"/>
      <c r="F253" s="428"/>
      <c r="G253" s="660"/>
      <c r="H253" s="428"/>
      <c r="I253" s="428"/>
      <c r="J253" s="428"/>
      <c r="K253" s="428"/>
      <c r="L253" s="660"/>
      <c r="M253" s="428"/>
      <c r="N253" s="428"/>
      <c r="O253" s="428"/>
      <c r="P253" s="660"/>
      <c r="Q253" s="428"/>
      <c r="R253" s="428"/>
      <c r="S253" s="428"/>
      <c r="T253" s="831"/>
      <c r="U253" s="331"/>
      <c r="V253" s="832"/>
      <c r="W253" s="331"/>
      <c r="X253" s="832"/>
      <c r="Y253" s="331"/>
      <c r="Z253" s="832"/>
      <c r="AA253" s="331"/>
      <c r="AB253" s="428"/>
      <c r="AC253" s="428"/>
      <c r="AD253" s="660"/>
      <c r="AE253" s="331"/>
      <c r="AF253" s="428"/>
      <c r="AG253" s="428"/>
      <c r="AH253" s="660"/>
      <c r="AI253" s="331"/>
      <c r="AJ253" s="660"/>
      <c r="AK253" s="331"/>
      <c r="AL253" s="330"/>
      <c r="AM253" s="330"/>
      <c r="AN253" s="330"/>
      <c r="AO253" s="331"/>
      <c r="AP253" s="331"/>
      <c r="AQ253" s="331"/>
      <c r="AR253" s="331"/>
      <c r="AS253" s="331"/>
      <c r="AT253" s="330"/>
      <c r="AU253" s="331"/>
      <c r="AV253" s="331"/>
      <c r="AW253" s="331"/>
      <c r="AX253" s="331">
        <f t="shared" si="1"/>
        <v>0</v>
      </c>
    </row>
    <row r="254" spans="1:50" ht="15" x14ac:dyDescent="0.2">
      <c r="A254" s="829" t="s">
        <v>99</v>
      </c>
      <c r="B254" s="331"/>
      <c r="C254" s="830">
        <v>2469</v>
      </c>
      <c r="D254" s="331"/>
      <c r="E254" s="428"/>
      <c r="F254" s="428"/>
      <c r="G254" s="660"/>
      <c r="H254" s="428"/>
      <c r="I254" s="428"/>
      <c r="J254" s="428"/>
      <c r="K254" s="428"/>
      <c r="L254" s="660"/>
      <c r="M254" s="428"/>
      <c r="N254" s="428"/>
      <c r="O254" s="428"/>
      <c r="P254" s="660"/>
      <c r="Q254" s="428"/>
      <c r="R254" s="428"/>
      <c r="S254" s="428"/>
      <c r="T254" s="831"/>
      <c r="U254" s="331"/>
      <c r="V254" s="832"/>
      <c r="W254" s="331"/>
      <c r="X254" s="832"/>
      <c r="Y254" s="331"/>
      <c r="Z254" s="832"/>
      <c r="AA254" s="331"/>
      <c r="AB254" s="428"/>
      <c r="AC254" s="428"/>
      <c r="AD254" s="660"/>
      <c r="AE254" s="331"/>
      <c r="AF254" s="428"/>
      <c r="AG254" s="428"/>
      <c r="AH254" s="660"/>
      <c r="AI254" s="331"/>
      <c r="AJ254" s="660"/>
      <c r="AK254" s="331"/>
      <c r="AL254" s="330"/>
      <c r="AM254" s="330"/>
      <c r="AN254" s="330"/>
      <c r="AO254" s="331"/>
      <c r="AP254" s="331"/>
      <c r="AQ254" s="331"/>
      <c r="AR254" s="331"/>
      <c r="AS254" s="331"/>
      <c r="AT254" s="330"/>
      <c r="AU254" s="331"/>
      <c r="AV254" s="331"/>
      <c r="AW254" s="331"/>
      <c r="AX254" s="331">
        <f t="shared" si="1"/>
        <v>0</v>
      </c>
    </row>
    <row r="255" spans="1:50" ht="15" x14ac:dyDescent="0.2">
      <c r="A255" s="829" t="s">
        <v>100</v>
      </c>
      <c r="B255" s="331"/>
      <c r="C255" s="830">
        <v>2430</v>
      </c>
      <c r="D255" s="331"/>
      <c r="E255" s="428"/>
      <c r="F255" s="428"/>
      <c r="G255" s="660"/>
      <c r="H255" s="428"/>
      <c r="I255" s="428"/>
      <c r="J255" s="428"/>
      <c r="K255" s="428"/>
      <c r="L255" s="660"/>
      <c r="M255" s="428"/>
      <c r="N255" s="428"/>
      <c r="O255" s="428"/>
      <c r="P255" s="660"/>
      <c r="Q255" s="428"/>
      <c r="R255" s="428"/>
      <c r="S255" s="428"/>
      <c r="T255" s="831"/>
      <c r="U255" s="331"/>
      <c r="V255" s="832"/>
      <c r="W255" s="331"/>
      <c r="X255" s="832"/>
      <c r="Y255" s="331"/>
      <c r="Z255" s="832"/>
      <c r="AA255" s="331"/>
      <c r="AB255" s="428"/>
      <c r="AC255" s="428"/>
      <c r="AD255" s="660"/>
      <c r="AE255" s="331"/>
      <c r="AF255" s="428"/>
      <c r="AG255" s="428"/>
      <c r="AH255" s="660"/>
      <c r="AI255" s="331"/>
      <c r="AJ255" s="660"/>
      <c r="AK255" s="331"/>
      <c r="AL255" s="330"/>
      <c r="AM255" s="330"/>
      <c r="AN255" s="330"/>
      <c r="AO255" s="331"/>
      <c r="AP255" s="331"/>
      <c r="AQ255" s="331"/>
      <c r="AR255" s="331"/>
      <c r="AS255" s="331"/>
      <c r="AT255" s="330"/>
      <c r="AU255" s="331"/>
      <c r="AV255" s="331"/>
      <c r="AW255" s="331"/>
      <c r="AX255" s="331">
        <f t="shared" si="1"/>
        <v>0</v>
      </c>
    </row>
    <row r="256" spans="1:50" ht="15" x14ac:dyDescent="0.2">
      <c r="A256" s="829" t="s">
        <v>101</v>
      </c>
      <c r="B256" s="331"/>
      <c r="C256" s="830">
        <v>2466</v>
      </c>
      <c r="D256" s="331"/>
      <c r="E256" s="428"/>
      <c r="F256" s="428"/>
      <c r="G256" s="660"/>
      <c r="H256" s="428"/>
      <c r="I256" s="428"/>
      <c r="J256" s="428"/>
      <c r="K256" s="428"/>
      <c r="L256" s="660"/>
      <c r="M256" s="428"/>
      <c r="N256" s="428"/>
      <c r="O256" s="428"/>
      <c r="P256" s="660"/>
      <c r="Q256" s="428"/>
      <c r="R256" s="428"/>
      <c r="S256" s="428"/>
      <c r="T256" s="831"/>
      <c r="U256" s="331"/>
      <c r="V256" s="832"/>
      <c r="W256" s="331"/>
      <c r="X256" s="832"/>
      <c r="Y256" s="331"/>
      <c r="Z256" s="832"/>
      <c r="AA256" s="331"/>
      <c r="AB256" s="428"/>
      <c r="AC256" s="428"/>
      <c r="AD256" s="660"/>
      <c r="AE256" s="331"/>
      <c r="AF256" s="428"/>
      <c r="AG256" s="428"/>
      <c r="AH256" s="660"/>
      <c r="AI256" s="331"/>
      <c r="AJ256" s="660"/>
      <c r="AK256" s="331"/>
      <c r="AL256" s="330"/>
      <c r="AM256" s="330"/>
      <c r="AN256" s="330"/>
      <c r="AO256" s="331"/>
      <c r="AP256" s="331"/>
      <c r="AQ256" s="331"/>
      <c r="AR256" s="331"/>
      <c r="AS256" s="331"/>
      <c r="AT256" s="330"/>
      <c r="AU256" s="331"/>
      <c r="AV256" s="331"/>
      <c r="AW256" s="331"/>
      <c r="AX256" s="331">
        <f t="shared" si="1"/>
        <v>0</v>
      </c>
    </row>
    <row r="257" spans="1:50" ht="15" x14ac:dyDescent="0.2">
      <c r="A257" s="829" t="s">
        <v>102</v>
      </c>
      <c r="B257" s="331"/>
      <c r="C257" s="830">
        <v>3543</v>
      </c>
      <c r="D257" s="331"/>
      <c r="E257" s="428"/>
      <c r="F257" s="428"/>
      <c r="G257" s="660"/>
      <c r="H257" s="428"/>
      <c r="I257" s="428"/>
      <c r="J257" s="428"/>
      <c r="K257" s="428"/>
      <c r="L257" s="660"/>
      <c r="M257" s="428"/>
      <c r="N257" s="428"/>
      <c r="O257" s="428"/>
      <c r="P257" s="660"/>
      <c r="Q257" s="428"/>
      <c r="R257" s="428"/>
      <c r="S257" s="428"/>
      <c r="T257" s="831"/>
      <c r="U257" s="331"/>
      <c r="V257" s="832"/>
      <c r="W257" s="331"/>
      <c r="X257" s="832"/>
      <c r="Y257" s="331"/>
      <c r="Z257" s="832"/>
      <c r="AA257" s="331"/>
      <c r="AB257" s="428"/>
      <c r="AC257" s="428"/>
      <c r="AD257" s="660"/>
      <c r="AE257" s="331"/>
      <c r="AF257" s="428"/>
      <c r="AG257" s="428"/>
      <c r="AH257" s="660"/>
      <c r="AI257" s="331"/>
      <c r="AJ257" s="660"/>
      <c r="AK257" s="331"/>
      <c r="AL257" s="330"/>
      <c r="AM257" s="330"/>
      <c r="AN257" s="330"/>
      <c r="AO257" s="331"/>
      <c r="AP257" s="331"/>
      <c r="AQ257" s="331"/>
      <c r="AR257" s="331"/>
      <c r="AS257" s="331"/>
      <c r="AT257" s="330"/>
      <c r="AU257" s="331"/>
      <c r="AV257" s="331"/>
      <c r="AW257" s="331"/>
      <c r="AX257" s="331">
        <f t="shared" si="1"/>
        <v>0</v>
      </c>
    </row>
    <row r="258" spans="1:50" ht="15" x14ac:dyDescent="0.2">
      <c r="A258" s="829" t="s">
        <v>103</v>
      </c>
      <c r="B258" s="331"/>
      <c r="C258" s="830">
        <v>3158</v>
      </c>
      <c r="D258" s="331"/>
      <c r="E258" s="428"/>
      <c r="F258" s="428"/>
      <c r="G258" s="660"/>
      <c r="H258" s="428"/>
      <c r="I258" s="428"/>
      <c r="J258" s="428"/>
      <c r="K258" s="428"/>
      <c r="L258" s="660"/>
      <c r="M258" s="428"/>
      <c r="N258" s="428"/>
      <c r="O258" s="428"/>
      <c r="P258" s="660"/>
      <c r="Q258" s="428"/>
      <c r="R258" s="428"/>
      <c r="S258" s="428"/>
      <c r="T258" s="831"/>
      <c r="U258" s="331"/>
      <c r="V258" s="832"/>
      <c r="W258" s="331"/>
      <c r="X258" s="832"/>
      <c r="Y258" s="331"/>
      <c r="Z258" s="832"/>
      <c r="AA258" s="331"/>
      <c r="AB258" s="428"/>
      <c r="AC258" s="428"/>
      <c r="AD258" s="660"/>
      <c r="AE258" s="331"/>
      <c r="AF258" s="428"/>
      <c r="AG258" s="428"/>
      <c r="AH258" s="660"/>
      <c r="AI258" s="331"/>
      <c r="AJ258" s="660"/>
      <c r="AK258" s="331"/>
      <c r="AL258" s="330"/>
      <c r="AM258" s="330"/>
      <c r="AN258" s="330"/>
      <c r="AO258" s="331"/>
      <c r="AP258" s="331"/>
      <c r="AQ258" s="331"/>
      <c r="AR258" s="331"/>
      <c r="AS258" s="331"/>
      <c r="AT258" s="330"/>
      <c r="AU258" s="331"/>
      <c r="AV258" s="331"/>
      <c r="AW258" s="331"/>
      <c r="AX258" s="331">
        <f t="shared" si="1"/>
        <v>0</v>
      </c>
    </row>
    <row r="259" spans="1:50" ht="15" x14ac:dyDescent="0.2">
      <c r="A259" s="829" t="s">
        <v>104</v>
      </c>
      <c r="B259" s="331"/>
      <c r="C259" s="830">
        <v>3531</v>
      </c>
      <c r="D259" s="331"/>
      <c r="E259" s="428"/>
      <c r="F259" s="428"/>
      <c r="G259" s="660"/>
      <c r="H259" s="428"/>
      <c r="I259" s="428"/>
      <c r="J259" s="428"/>
      <c r="K259" s="428"/>
      <c r="L259" s="660"/>
      <c r="M259" s="428"/>
      <c r="N259" s="428"/>
      <c r="O259" s="428"/>
      <c r="P259" s="660"/>
      <c r="Q259" s="428"/>
      <c r="R259" s="428"/>
      <c r="S259" s="428"/>
      <c r="T259" s="831"/>
      <c r="U259" s="331"/>
      <c r="V259" s="832"/>
      <c r="W259" s="331"/>
      <c r="X259" s="832"/>
      <c r="Y259" s="331"/>
      <c r="Z259" s="832"/>
      <c r="AA259" s="331"/>
      <c r="AB259" s="428"/>
      <c r="AC259" s="428"/>
      <c r="AD259" s="660"/>
      <c r="AE259" s="331"/>
      <c r="AF259" s="428"/>
      <c r="AG259" s="428"/>
      <c r="AH259" s="660"/>
      <c r="AI259" s="331"/>
      <c r="AJ259" s="660"/>
      <c r="AK259" s="331"/>
      <c r="AL259" s="330"/>
      <c r="AM259" s="330"/>
      <c r="AN259" s="330"/>
      <c r="AO259" s="331"/>
      <c r="AP259" s="331"/>
      <c r="AQ259" s="331"/>
      <c r="AR259" s="331"/>
      <c r="AS259" s="331"/>
      <c r="AT259" s="330"/>
      <c r="AU259" s="331"/>
      <c r="AV259" s="331"/>
      <c r="AW259" s="331"/>
      <c r="AX259" s="331">
        <f t="shared" si="1"/>
        <v>0</v>
      </c>
    </row>
    <row r="260" spans="1:50" ht="15" x14ac:dyDescent="0.2">
      <c r="A260" s="829" t="s">
        <v>105</v>
      </c>
      <c r="B260" s="331"/>
      <c r="C260" s="830">
        <v>3526</v>
      </c>
      <c r="D260" s="331"/>
      <c r="E260" s="428"/>
      <c r="F260" s="428"/>
      <c r="G260" s="660"/>
      <c r="H260" s="428"/>
      <c r="I260" s="428"/>
      <c r="J260" s="428"/>
      <c r="K260" s="428"/>
      <c r="L260" s="660"/>
      <c r="M260" s="428"/>
      <c r="N260" s="428"/>
      <c r="O260" s="428"/>
      <c r="P260" s="660"/>
      <c r="Q260" s="428"/>
      <c r="R260" s="428"/>
      <c r="S260" s="428"/>
      <c r="T260" s="831"/>
      <c r="U260" s="331"/>
      <c r="V260" s="832"/>
      <c r="W260" s="331"/>
      <c r="X260" s="832"/>
      <c r="Y260" s="331"/>
      <c r="Z260" s="832"/>
      <c r="AA260" s="331"/>
      <c r="AB260" s="428"/>
      <c r="AC260" s="428"/>
      <c r="AD260" s="660"/>
      <c r="AE260" s="331"/>
      <c r="AF260" s="428"/>
      <c r="AG260" s="428"/>
      <c r="AH260" s="660"/>
      <c r="AI260" s="331"/>
      <c r="AJ260" s="660"/>
      <c r="AK260" s="331"/>
      <c r="AL260" s="330"/>
      <c r="AM260" s="330"/>
      <c r="AN260" s="330"/>
      <c r="AO260" s="331"/>
      <c r="AP260" s="331"/>
      <c r="AQ260" s="331"/>
      <c r="AR260" s="331"/>
      <c r="AS260" s="331"/>
      <c r="AT260" s="330"/>
      <c r="AU260" s="331"/>
      <c r="AV260" s="331"/>
      <c r="AW260" s="331"/>
      <c r="AX260" s="331">
        <f t="shared" si="1"/>
        <v>0</v>
      </c>
    </row>
    <row r="261" spans="1:50" ht="15" x14ac:dyDescent="0.2">
      <c r="A261" s="829" t="s">
        <v>106</v>
      </c>
      <c r="B261" s="331"/>
      <c r="C261" s="830">
        <v>3535</v>
      </c>
      <c r="D261" s="331"/>
      <c r="E261" s="428"/>
      <c r="F261" s="428"/>
      <c r="G261" s="660"/>
      <c r="H261" s="428"/>
      <c r="I261" s="428"/>
      <c r="J261" s="428"/>
      <c r="K261" s="428"/>
      <c r="L261" s="660"/>
      <c r="M261" s="428"/>
      <c r="N261" s="428"/>
      <c r="O261" s="428"/>
      <c r="P261" s="660"/>
      <c r="Q261" s="428"/>
      <c r="R261" s="428"/>
      <c r="S261" s="428"/>
      <c r="T261" s="831"/>
      <c r="U261" s="331"/>
      <c r="V261" s="832"/>
      <c r="W261" s="331"/>
      <c r="X261" s="832"/>
      <c r="Y261" s="331"/>
      <c r="Z261" s="832"/>
      <c r="AA261" s="331"/>
      <c r="AB261" s="428"/>
      <c r="AC261" s="428"/>
      <c r="AD261" s="660"/>
      <c r="AE261" s="331"/>
      <c r="AF261" s="428"/>
      <c r="AG261" s="428"/>
      <c r="AH261" s="660"/>
      <c r="AI261" s="331"/>
      <c r="AJ261" s="660"/>
      <c r="AK261" s="331"/>
      <c r="AL261" s="330"/>
      <c r="AM261" s="330"/>
      <c r="AN261" s="330"/>
      <c r="AO261" s="331"/>
      <c r="AP261" s="331"/>
      <c r="AQ261" s="331"/>
      <c r="AR261" s="331"/>
      <c r="AS261" s="331"/>
      <c r="AT261" s="330"/>
      <c r="AU261" s="331"/>
      <c r="AV261" s="331"/>
      <c r="AW261" s="331"/>
      <c r="AX261" s="331">
        <f t="shared" si="1"/>
        <v>0</v>
      </c>
    </row>
    <row r="262" spans="1:50" ht="15" x14ac:dyDescent="0.2">
      <c r="A262" s="829" t="s">
        <v>107</v>
      </c>
      <c r="B262" s="331"/>
      <c r="C262" s="830">
        <v>2008</v>
      </c>
      <c r="D262" s="331"/>
      <c r="E262" s="428"/>
      <c r="F262" s="428"/>
      <c r="G262" s="660"/>
      <c r="H262" s="428"/>
      <c r="I262" s="428"/>
      <c r="J262" s="428"/>
      <c r="K262" s="428"/>
      <c r="L262" s="660"/>
      <c r="M262" s="428"/>
      <c r="N262" s="428"/>
      <c r="O262" s="428"/>
      <c r="P262" s="660"/>
      <c r="Q262" s="428"/>
      <c r="R262" s="428"/>
      <c r="S262" s="428"/>
      <c r="T262" s="831"/>
      <c r="U262" s="331"/>
      <c r="V262" s="832"/>
      <c r="W262" s="331"/>
      <c r="X262" s="832"/>
      <c r="Y262" s="331"/>
      <c r="Z262" s="832"/>
      <c r="AA262" s="331"/>
      <c r="AB262" s="428"/>
      <c r="AC262" s="428"/>
      <c r="AD262" s="660"/>
      <c r="AE262" s="331"/>
      <c r="AF262" s="428"/>
      <c r="AG262" s="428"/>
      <c r="AH262" s="660"/>
      <c r="AI262" s="331"/>
      <c r="AJ262" s="660"/>
      <c r="AK262" s="331"/>
      <c r="AL262" s="330"/>
      <c r="AM262" s="330"/>
      <c r="AN262" s="330"/>
      <c r="AO262" s="331"/>
      <c r="AP262" s="331"/>
      <c r="AQ262" s="331"/>
      <c r="AR262" s="331"/>
      <c r="AS262" s="331"/>
      <c r="AT262" s="330"/>
      <c r="AU262" s="331"/>
      <c r="AV262" s="331"/>
      <c r="AW262" s="331"/>
      <c r="AX262" s="331">
        <f t="shared" si="1"/>
        <v>0</v>
      </c>
    </row>
    <row r="263" spans="1:50" ht="15" x14ac:dyDescent="0.2">
      <c r="A263" s="829" t="s">
        <v>108</v>
      </c>
      <c r="B263" s="331"/>
      <c r="C263" s="830">
        <v>3542</v>
      </c>
      <c r="D263" s="331"/>
      <c r="E263" s="428"/>
      <c r="F263" s="428"/>
      <c r="G263" s="660"/>
      <c r="H263" s="428"/>
      <c r="I263" s="428"/>
      <c r="J263" s="428"/>
      <c r="K263" s="428"/>
      <c r="L263" s="660"/>
      <c r="M263" s="428"/>
      <c r="N263" s="428"/>
      <c r="O263" s="428"/>
      <c r="P263" s="660"/>
      <c r="Q263" s="428"/>
      <c r="R263" s="428"/>
      <c r="S263" s="428"/>
      <c r="T263" s="831"/>
      <c r="U263" s="331"/>
      <c r="V263" s="832"/>
      <c r="W263" s="331"/>
      <c r="X263" s="832"/>
      <c r="Y263" s="331"/>
      <c r="Z263" s="832"/>
      <c r="AA263" s="331"/>
      <c r="AB263" s="428"/>
      <c r="AC263" s="428"/>
      <c r="AD263" s="660"/>
      <c r="AE263" s="331"/>
      <c r="AF263" s="428"/>
      <c r="AG263" s="428"/>
      <c r="AH263" s="660"/>
      <c r="AI263" s="331"/>
      <c r="AJ263" s="660"/>
      <c r="AK263" s="331"/>
      <c r="AL263" s="330"/>
      <c r="AM263" s="330"/>
      <c r="AN263" s="330"/>
      <c r="AO263" s="331"/>
      <c r="AP263" s="331"/>
      <c r="AQ263" s="331"/>
      <c r="AR263" s="331"/>
      <c r="AS263" s="331"/>
      <c r="AT263" s="330"/>
      <c r="AU263" s="331"/>
      <c r="AV263" s="331"/>
      <c r="AW263" s="331"/>
      <c r="AX263" s="331">
        <f t="shared" si="1"/>
        <v>0</v>
      </c>
    </row>
    <row r="264" spans="1:50" ht="15" x14ac:dyDescent="0.2">
      <c r="A264" s="829" t="s">
        <v>109</v>
      </c>
      <c r="B264" s="331"/>
      <c r="C264" s="830">
        <v>3528</v>
      </c>
      <c r="D264" s="331"/>
      <c r="E264" s="428"/>
      <c r="F264" s="428"/>
      <c r="G264" s="660"/>
      <c r="H264" s="428"/>
      <c r="I264" s="428"/>
      <c r="J264" s="428"/>
      <c r="K264" s="428"/>
      <c r="L264" s="660"/>
      <c r="M264" s="428"/>
      <c r="N264" s="428"/>
      <c r="O264" s="428"/>
      <c r="P264" s="660"/>
      <c r="Q264" s="428"/>
      <c r="R264" s="428"/>
      <c r="S264" s="428"/>
      <c r="T264" s="831"/>
      <c r="U264" s="331"/>
      <c r="V264" s="832"/>
      <c r="W264" s="331"/>
      <c r="X264" s="832"/>
      <c r="Y264" s="331"/>
      <c r="Z264" s="832"/>
      <c r="AA264" s="331"/>
      <c r="AB264" s="428"/>
      <c r="AC264" s="428"/>
      <c r="AD264" s="660"/>
      <c r="AE264" s="331"/>
      <c r="AF264" s="428"/>
      <c r="AG264" s="428"/>
      <c r="AH264" s="660"/>
      <c r="AI264" s="331"/>
      <c r="AJ264" s="660"/>
      <c r="AK264" s="331"/>
      <c r="AL264" s="330"/>
      <c r="AM264" s="330"/>
      <c r="AN264" s="330"/>
      <c r="AO264" s="331"/>
      <c r="AP264" s="331"/>
      <c r="AQ264" s="331"/>
      <c r="AR264" s="331"/>
      <c r="AS264" s="331"/>
      <c r="AT264" s="330"/>
      <c r="AU264" s="331"/>
      <c r="AV264" s="331"/>
      <c r="AW264" s="331"/>
      <c r="AX264" s="331">
        <f t="shared" si="1"/>
        <v>0</v>
      </c>
    </row>
    <row r="265" spans="1:50" ht="15" x14ac:dyDescent="0.2">
      <c r="A265" s="829" t="s">
        <v>110</v>
      </c>
      <c r="B265" s="331"/>
      <c r="C265" s="830">
        <v>3534</v>
      </c>
      <c r="D265" s="331"/>
      <c r="E265" s="428"/>
      <c r="F265" s="428"/>
      <c r="G265" s="660"/>
      <c r="H265" s="428"/>
      <c r="I265" s="428"/>
      <c r="J265" s="428"/>
      <c r="K265" s="428"/>
      <c r="L265" s="660"/>
      <c r="M265" s="428"/>
      <c r="N265" s="428"/>
      <c r="O265" s="428"/>
      <c r="P265" s="660"/>
      <c r="Q265" s="428"/>
      <c r="R265" s="428"/>
      <c r="S265" s="428"/>
      <c r="T265" s="831"/>
      <c r="U265" s="331"/>
      <c r="V265" s="832"/>
      <c r="W265" s="331"/>
      <c r="X265" s="832"/>
      <c r="Y265" s="331"/>
      <c r="Z265" s="832"/>
      <c r="AA265" s="331"/>
      <c r="AB265" s="428"/>
      <c r="AC265" s="428"/>
      <c r="AD265" s="660"/>
      <c r="AE265" s="331"/>
      <c r="AF265" s="428"/>
      <c r="AG265" s="428"/>
      <c r="AH265" s="660"/>
      <c r="AI265" s="331"/>
      <c r="AJ265" s="660"/>
      <c r="AK265" s="331"/>
      <c r="AL265" s="330"/>
      <c r="AM265" s="330"/>
      <c r="AN265" s="330"/>
      <c r="AO265" s="331"/>
      <c r="AP265" s="331"/>
      <c r="AQ265" s="331"/>
      <c r="AR265" s="331"/>
      <c r="AS265" s="331"/>
      <c r="AT265" s="330"/>
      <c r="AU265" s="331"/>
      <c r="AV265" s="331"/>
      <c r="AW265" s="331"/>
      <c r="AX265" s="331">
        <f t="shared" si="1"/>
        <v>0</v>
      </c>
    </row>
    <row r="266" spans="1:50" ht="15" x14ac:dyDescent="0.2">
      <c r="A266" s="829" t="s">
        <v>111</v>
      </c>
      <c r="B266" s="331"/>
      <c r="C266" s="830">
        <v>3532</v>
      </c>
      <c r="D266" s="331"/>
      <c r="E266" s="428"/>
      <c r="F266" s="428"/>
      <c r="G266" s="660"/>
      <c r="H266" s="428"/>
      <c r="I266" s="428"/>
      <c r="J266" s="428"/>
      <c r="K266" s="428"/>
      <c r="L266" s="660"/>
      <c r="M266" s="428"/>
      <c r="N266" s="428"/>
      <c r="O266" s="428"/>
      <c r="P266" s="660"/>
      <c r="Q266" s="428"/>
      <c r="R266" s="428"/>
      <c r="S266" s="428"/>
      <c r="T266" s="831"/>
      <c r="U266" s="331"/>
      <c r="V266" s="832"/>
      <c r="W266" s="331"/>
      <c r="X266" s="832"/>
      <c r="Y266" s="331"/>
      <c r="Z266" s="832"/>
      <c r="AA266" s="331"/>
      <c r="AB266" s="428"/>
      <c r="AC266" s="428"/>
      <c r="AD266" s="660"/>
      <c r="AE266" s="331"/>
      <c r="AF266" s="428"/>
      <c r="AG266" s="428"/>
      <c r="AH266" s="660"/>
      <c r="AI266" s="331"/>
      <c r="AJ266" s="660"/>
      <c r="AK266" s="331"/>
      <c r="AL266" s="330"/>
      <c r="AM266" s="330"/>
      <c r="AN266" s="330"/>
      <c r="AO266" s="331"/>
      <c r="AP266" s="331"/>
      <c r="AQ266" s="331"/>
      <c r="AR266" s="331"/>
      <c r="AS266" s="331"/>
      <c r="AT266" s="330"/>
      <c r="AU266" s="331"/>
      <c r="AV266" s="331"/>
      <c r="AW266" s="331"/>
      <c r="AX266" s="331">
        <f t="shared" si="1"/>
        <v>0</v>
      </c>
    </row>
    <row r="267" spans="1:50" ht="15" x14ac:dyDescent="0.2">
      <c r="A267" s="829" t="s">
        <v>112</v>
      </c>
      <c r="B267" s="331"/>
      <c r="C267" s="830">
        <v>3546</v>
      </c>
      <c r="D267" s="331"/>
      <c r="E267" s="428"/>
      <c r="F267" s="428"/>
      <c r="G267" s="660"/>
      <c r="H267" s="428"/>
      <c r="I267" s="428"/>
      <c r="J267" s="428"/>
      <c r="K267" s="428"/>
      <c r="L267" s="660"/>
      <c r="M267" s="428"/>
      <c r="N267" s="428"/>
      <c r="O267" s="428"/>
      <c r="P267" s="660"/>
      <c r="Q267" s="428"/>
      <c r="R267" s="428"/>
      <c r="S267" s="428"/>
      <c r="T267" s="831"/>
      <c r="U267" s="331"/>
      <c r="V267" s="832"/>
      <c r="W267" s="331"/>
      <c r="X267" s="832"/>
      <c r="Y267" s="331"/>
      <c r="Z267" s="832"/>
      <c r="AA267" s="331"/>
      <c r="AB267" s="428"/>
      <c r="AC267" s="428"/>
      <c r="AD267" s="660"/>
      <c r="AE267" s="331"/>
      <c r="AF267" s="428"/>
      <c r="AG267" s="428"/>
      <c r="AH267" s="660"/>
      <c r="AI267" s="331"/>
      <c r="AJ267" s="660"/>
      <c r="AK267" s="331"/>
      <c r="AL267" s="330"/>
      <c r="AM267" s="330"/>
      <c r="AN267" s="330"/>
      <c r="AO267" s="331"/>
      <c r="AP267" s="331"/>
      <c r="AQ267" s="331"/>
      <c r="AR267" s="331"/>
      <c r="AS267" s="331"/>
      <c r="AT267" s="330"/>
      <c r="AU267" s="331"/>
      <c r="AV267" s="331"/>
      <c r="AW267" s="331"/>
      <c r="AX267" s="331">
        <f t="shared" si="1"/>
        <v>0</v>
      </c>
    </row>
    <row r="268" spans="1:50" ht="15" x14ac:dyDescent="0.2">
      <c r="A268" s="829" t="s">
        <v>113</v>
      </c>
      <c r="B268" s="331"/>
      <c r="C268" s="830">
        <v>3530</v>
      </c>
      <c r="D268" s="331"/>
      <c r="E268" s="428"/>
      <c r="F268" s="428"/>
      <c r="G268" s="660"/>
      <c r="H268" s="428"/>
      <c r="I268" s="428"/>
      <c r="J268" s="428"/>
      <c r="K268" s="428"/>
      <c r="L268" s="660"/>
      <c r="M268" s="428"/>
      <c r="N268" s="428"/>
      <c r="O268" s="428"/>
      <c r="P268" s="660"/>
      <c r="Q268" s="428"/>
      <c r="R268" s="428"/>
      <c r="S268" s="428"/>
      <c r="T268" s="831"/>
      <c r="U268" s="331"/>
      <c r="V268" s="832"/>
      <c r="W268" s="331"/>
      <c r="X268" s="832"/>
      <c r="Y268" s="331"/>
      <c r="Z268" s="832"/>
      <c r="AA268" s="331"/>
      <c r="AB268" s="428"/>
      <c r="AC268" s="428"/>
      <c r="AD268" s="660"/>
      <c r="AE268" s="331"/>
      <c r="AF268" s="428"/>
      <c r="AG268" s="428"/>
      <c r="AH268" s="660"/>
      <c r="AI268" s="331"/>
      <c r="AJ268" s="660"/>
      <c r="AK268" s="331"/>
      <c r="AL268" s="330"/>
      <c r="AM268" s="330"/>
      <c r="AN268" s="330"/>
      <c r="AO268" s="331"/>
      <c r="AP268" s="331"/>
      <c r="AQ268" s="331"/>
      <c r="AR268" s="331"/>
      <c r="AS268" s="331"/>
      <c r="AT268" s="330"/>
      <c r="AU268" s="331"/>
      <c r="AV268" s="331"/>
      <c r="AW268" s="331"/>
      <c r="AX268" s="331">
        <f t="shared" si="1"/>
        <v>0</v>
      </c>
    </row>
    <row r="269" spans="1:50" ht="15" x14ac:dyDescent="0.2">
      <c r="A269" s="829" t="s">
        <v>114</v>
      </c>
      <c r="B269" s="331"/>
      <c r="C269" s="830">
        <v>2459</v>
      </c>
      <c r="D269" s="331"/>
      <c r="E269" s="428"/>
      <c r="F269" s="428"/>
      <c r="G269" s="660"/>
      <c r="H269" s="428"/>
      <c r="I269" s="428"/>
      <c r="J269" s="428"/>
      <c r="K269" s="428"/>
      <c r="L269" s="660"/>
      <c r="M269" s="428"/>
      <c r="N269" s="428"/>
      <c r="O269" s="428"/>
      <c r="P269" s="660"/>
      <c r="Q269" s="428"/>
      <c r="R269" s="428"/>
      <c r="S269" s="428"/>
      <c r="T269" s="831"/>
      <c r="U269" s="331"/>
      <c r="V269" s="832"/>
      <c r="W269" s="331"/>
      <c r="X269" s="832"/>
      <c r="Y269" s="331"/>
      <c r="Z269" s="832"/>
      <c r="AA269" s="331"/>
      <c r="AB269" s="428"/>
      <c r="AC269" s="428"/>
      <c r="AD269" s="660"/>
      <c r="AE269" s="331"/>
      <c r="AF269" s="428"/>
      <c r="AG269" s="428"/>
      <c r="AH269" s="660"/>
      <c r="AI269" s="331"/>
      <c r="AJ269" s="660"/>
      <c r="AK269" s="331"/>
      <c r="AL269" s="330"/>
      <c r="AM269" s="330"/>
      <c r="AN269" s="330"/>
      <c r="AO269" s="331"/>
      <c r="AP269" s="331"/>
      <c r="AQ269" s="331"/>
      <c r="AR269" s="331"/>
      <c r="AS269" s="331"/>
      <c r="AT269" s="330"/>
      <c r="AU269" s="331"/>
      <c r="AV269" s="331"/>
      <c r="AW269" s="331"/>
      <c r="AX269" s="331">
        <f t="shared" si="1"/>
        <v>0</v>
      </c>
    </row>
    <row r="270" spans="1:50" x14ac:dyDescent="0.2">
      <c r="A270" s="331"/>
      <c r="B270" s="331"/>
      <c r="C270" s="331"/>
      <c r="D270" s="331"/>
      <c r="E270" s="428"/>
      <c r="F270" s="428"/>
      <c r="G270" s="660"/>
      <c r="H270" s="428"/>
      <c r="I270" s="428"/>
      <c r="J270" s="428"/>
      <c r="K270" s="428"/>
      <c r="L270" s="660"/>
      <c r="M270" s="428"/>
      <c r="N270" s="428"/>
      <c r="O270" s="428"/>
      <c r="P270" s="660"/>
      <c r="Q270" s="428"/>
      <c r="R270" s="428"/>
      <c r="S270" s="428"/>
      <c r="T270" s="831"/>
      <c r="U270" s="331"/>
      <c r="V270" s="832"/>
      <c r="W270" s="331"/>
      <c r="X270" s="832"/>
      <c r="Y270" s="331"/>
      <c r="Z270" s="832"/>
      <c r="AA270" s="331"/>
      <c r="AB270" s="428"/>
      <c r="AC270" s="428"/>
      <c r="AD270" s="660"/>
      <c r="AE270" s="331"/>
      <c r="AF270" s="428"/>
      <c r="AG270" s="428"/>
      <c r="AH270" s="660"/>
      <c r="AI270" s="331"/>
      <c r="AJ270" s="660"/>
      <c r="AK270" s="331"/>
      <c r="AL270" s="330"/>
      <c r="AM270" s="330"/>
      <c r="AN270" s="330"/>
      <c r="AO270" s="331"/>
      <c r="AP270" s="331"/>
      <c r="AQ270" s="331"/>
      <c r="AR270" s="331"/>
      <c r="AS270" s="331"/>
      <c r="AT270" s="330"/>
      <c r="AU270" s="331"/>
      <c r="AV270" s="331"/>
      <c r="AW270" s="331"/>
      <c r="AX270" s="331">
        <f t="shared" si="1"/>
        <v>0</v>
      </c>
    </row>
    <row r="271" spans="1:50" x14ac:dyDescent="0.2">
      <c r="A271" s="331"/>
      <c r="B271" s="331"/>
      <c r="C271" s="331"/>
      <c r="D271" s="331"/>
      <c r="E271" s="428"/>
      <c r="F271" s="428"/>
      <c r="G271" s="660"/>
      <c r="H271" s="428"/>
      <c r="I271" s="428"/>
      <c r="J271" s="428"/>
      <c r="K271" s="428"/>
      <c r="L271" s="660"/>
      <c r="M271" s="428"/>
      <c r="N271" s="428"/>
      <c r="O271" s="428"/>
      <c r="P271" s="660"/>
      <c r="Q271" s="428"/>
      <c r="R271" s="428"/>
      <c r="S271" s="428"/>
      <c r="T271" s="831"/>
      <c r="U271" s="331"/>
      <c r="V271" s="832"/>
      <c r="W271" s="331"/>
      <c r="X271" s="832"/>
      <c r="Y271" s="331"/>
      <c r="Z271" s="832"/>
      <c r="AA271" s="331"/>
      <c r="AB271" s="428"/>
      <c r="AC271" s="428"/>
      <c r="AD271" s="660"/>
      <c r="AE271" s="331"/>
      <c r="AF271" s="428"/>
      <c r="AG271" s="428"/>
      <c r="AH271" s="660"/>
      <c r="AI271" s="331"/>
      <c r="AJ271" s="660"/>
      <c r="AK271" s="331"/>
      <c r="AL271" s="330"/>
      <c r="AM271" s="330"/>
      <c r="AN271" s="330"/>
      <c r="AO271" s="331"/>
      <c r="AP271" s="331"/>
      <c r="AQ271" s="331"/>
      <c r="AR271" s="331"/>
      <c r="AS271" s="331"/>
      <c r="AT271" s="330"/>
      <c r="AU271" s="331"/>
      <c r="AV271" s="331"/>
      <c r="AW271" s="331"/>
      <c r="AX271" s="331">
        <f t="shared" si="1"/>
        <v>0</v>
      </c>
    </row>
    <row r="272" spans="1:50" x14ac:dyDescent="0.2">
      <c r="A272" s="595" t="s">
        <v>867</v>
      </c>
      <c r="B272" s="833"/>
      <c r="C272" s="833">
        <v>12345</v>
      </c>
      <c r="D272" s="331"/>
      <c r="E272" s="428"/>
      <c r="F272" s="428"/>
      <c r="G272" s="660"/>
      <c r="H272" s="428"/>
      <c r="I272" s="428"/>
      <c r="J272" s="428"/>
      <c r="K272" s="428"/>
      <c r="L272" s="660"/>
      <c r="M272" s="428"/>
      <c r="N272" s="428"/>
      <c r="O272" s="428"/>
      <c r="P272" s="660"/>
      <c r="Q272" s="428"/>
      <c r="R272" s="428"/>
      <c r="S272" s="428"/>
      <c r="T272" s="831"/>
      <c r="U272" s="331"/>
      <c r="V272" s="832"/>
      <c r="W272" s="331"/>
      <c r="X272" s="832"/>
      <c r="Y272" s="331"/>
      <c r="Z272" s="832"/>
      <c r="AA272" s="331"/>
      <c r="AB272" s="428"/>
      <c r="AC272" s="428"/>
      <c r="AD272" s="660"/>
      <c r="AE272" s="331"/>
      <c r="AF272" s="428"/>
      <c r="AG272" s="428"/>
      <c r="AH272" s="660"/>
      <c r="AI272" s="331"/>
      <c r="AJ272" s="660"/>
      <c r="AK272" s="331"/>
      <c r="AL272" s="330"/>
      <c r="AM272" s="330"/>
      <c r="AN272" s="330"/>
      <c r="AO272" s="331"/>
      <c r="AP272" s="331"/>
      <c r="AQ272" s="331"/>
      <c r="AR272" s="331"/>
      <c r="AS272" s="331"/>
      <c r="AT272" s="330"/>
      <c r="AU272" s="331"/>
      <c r="AV272" s="331"/>
      <c r="AW272" s="331"/>
      <c r="AX272" s="331">
        <f t="shared" si="1"/>
        <v>0</v>
      </c>
    </row>
    <row r="273" spans="1:50" x14ac:dyDescent="0.2">
      <c r="A273" s="331"/>
      <c r="B273" s="331"/>
      <c r="C273" s="654"/>
      <c r="D273" s="331"/>
      <c r="E273" s="428"/>
      <c r="F273" s="428"/>
      <c r="G273" s="660"/>
      <c r="H273" s="428"/>
      <c r="I273" s="428"/>
      <c r="J273" s="428"/>
      <c r="K273" s="428"/>
      <c r="L273" s="660"/>
      <c r="M273" s="428"/>
      <c r="N273" s="428"/>
      <c r="O273" s="428"/>
      <c r="P273" s="660"/>
      <c r="Q273" s="428"/>
      <c r="R273" s="428"/>
      <c r="S273" s="428"/>
      <c r="T273" s="831"/>
      <c r="U273" s="331"/>
      <c r="V273" s="832"/>
      <c r="W273" s="331"/>
      <c r="X273" s="832"/>
      <c r="Y273" s="331"/>
      <c r="Z273" s="832"/>
      <c r="AA273" s="331"/>
      <c r="AB273" s="428"/>
      <c r="AC273" s="428"/>
      <c r="AD273" s="660"/>
      <c r="AE273" s="331"/>
      <c r="AF273" s="428"/>
      <c r="AG273" s="428"/>
      <c r="AH273" s="660"/>
      <c r="AI273" s="331"/>
      <c r="AJ273" s="660"/>
      <c r="AK273" s="331"/>
      <c r="AL273" s="330"/>
      <c r="AM273" s="330"/>
      <c r="AN273" s="330"/>
      <c r="AO273" s="331"/>
      <c r="AP273" s="331"/>
      <c r="AQ273" s="331"/>
      <c r="AR273" s="331"/>
      <c r="AS273" s="331"/>
      <c r="AT273" s="330"/>
      <c r="AU273" s="331"/>
      <c r="AV273" s="331"/>
      <c r="AW273" s="331"/>
      <c r="AX273" s="331">
        <f t="shared" si="1"/>
        <v>0</v>
      </c>
    </row>
    <row r="274" spans="1:50" x14ac:dyDescent="0.2">
      <c r="A274" s="491" t="s">
        <v>569</v>
      </c>
      <c r="B274" s="654"/>
      <c r="C274" s="654" t="s">
        <v>570</v>
      </c>
      <c r="D274" s="331"/>
      <c r="E274" s="428"/>
      <c r="F274" s="428"/>
      <c r="G274" s="660"/>
      <c r="H274" s="428"/>
      <c r="I274" s="428"/>
      <c r="J274" s="428"/>
      <c r="K274" s="428"/>
      <c r="L274" s="660"/>
      <c r="M274" s="428"/>
      <c r="N274" s="428"/>
      <c r="O274" s="428"/>
      <c r="P274" s="660"/>
      <c r="Q274" s="428"/>
      <c r="R274" s="428"/>
      <c r="S274" s="428"/>
      <c r="T274" s="831"/>
      <c r="U274" s="331"/>
      <c r="V274" s="832"/>
      <c r="W274" s="331"/>
      <c r="X274" s="832"/>
      <c r="Y274" s="331"/>
      <c r="Z274" s="832"/>
      <c r="AA274" s="331"/>
      <c r="AB274" s="428"/>
      <c r="AC274" s="428"/>
      <c r="AD274" s="660"/>
      <c r="AE274" s="331"/>
      <c r="AF274" s="428"/>
      <c r="AG274" s="428"/>
      <c r="AH274" s="660"/>
      <c r="AI274" s="331"/>
      <c r="AJ274" s="660"/>
      <c r="AK274" s="331"/>
      <c r="AL274" s="330"/>
      <c r="AM274" s="330"/>
      <c r="AN274" s="330"/>
      <c r="AO274" s="331"/>
      <c r="AP274" s="331"/>
      <c r="AQ274" s="331"/>
      <c r="AR274" s="331"/>
      <c r="AS274" s="331"/>
      <c r="AT274" s="330"/>
      <c r="AU274" s="331"/>
      <c r="AV274" s="331"/>
      <c r="AW274" s="331"/>
      <c r="AX274" s="331">
        <f t="shared" si="1"/>
        <v>0</v>
      </c>
    </row>
    <row r="275" spans="1:50" x14ac:dyDescent="0.2">
      <c r="A275" s="665" t="s">
        <v>571</v>
      </c>
      <c r="B275" s="662"/>
      <c r="C275" s="662" t="s">
        <v>572</v>
      </c>
      <c r="D275" s="331"/>
      <c r="E275" s="428"/>
      <c r="F275" s="428"/>
      <c r="G275" s="660"/>
      <c r="H275" s="428"/>
      <c r="I275" s="428"/>
      <c r="J275" s="428"/>
      <c r="K275" s="428"/>
      <c r="L275" s="660"/>
      <c r="M275" s="428"/>
      <c r="N275" s="428"/>
      <c r="O275" s="428"/>
      <c r="P275" s="660"/>
      <c r="Q275" s="428"/>
      <c r="R275" s="428"/>
      <c r="S275" s="428"/>
      <c r="T275" s="831"/>
      <c r="U275" s="331"/>
      <c r="V275" s="832"/>
      <c r="W275" s="331"/>
      <c r="X275" s="832"/>
      <c r="Y275" s="331"/>
      <c r="Z275" s="832"/>
      <c r="AA275" s="331"/>
      <c r="AB275" s="428"/>
      <c r="AC275" s="428"/>
      <c r="AD275" s="660"/>
      <c r="AE275" s="331"/>
      <c r="AF275" s="428"/>
      <c r="AG275" s="428"/>
      <c r="AH275" s="660"/>
      <c r="AI275" s="331"/>
      <c r="AJ275" s="660"/>
      <c r="AK275" s="331"/>
      <c r="AL275" s="330"/>
      <c r="AM275" s="330"/>
      <c r="AN275" s="330"/>
      <c r="AO275" s="331"/>
      <c r="AP275" s="331"/>
      <c r="AQ275" s="331"/>
      <c r="AR275" s="331"/>
      <c r="AS275" s="331"/>
      <c r="AT275" s="330"/>
      <c r="AU275" s="331"/>
      <c r="AV275" s="331"/>
      <c r="AW275" s="331"/>
      <c r="AX275" s="331">
        <f t="shared" si="1"/>
        <v>0</v>
      </c>
    </row>
    <row r="276" spans="1:50" ht="15" x14ac:dyDescent="0.25">
      <c r="A276" s="665" t="s">
        <v>573</v>
      </c>
      <c r="B276" s="661"/>
      <c r="C276" s="661" t="s">
        <v>574</v>
      </c>
      <c r="D276" s="331"/>
      <c r="E276" s="428"/>
      <c r="F276" s="428"/>
      <c r="G276" s="660"/>
      <c r="H276" s="428"/>
      <c r="I276" s="428"/>
      <c r="J276" s="428"/>
      <c r="K276" s="428"/>
      <c r="L276" s="660"/>
      <c r="M276" s="428"/>
      <c r="N276" s="428"/>
      <c r="O276" s="428"/>
      <c r="P276" s="660"/>
      <c r="Q276" s="428"/>
      <c r="R276" s="428"/>
      <c r="S276" s="428"/>
      <c r="T276" s="831"/>
      <c r="U276" s="331"/>
      <c r="V276" s="832"/>
      <c r="W276" s="331"/>
      <c r="X276" s="832"/>
      <c r="Y276" s="331"/>
      <c r="Z276" s="832"/>
      <c r="AA276" s="331"/>
      <c r="AB276" s="428"/>
      <c r="AC276" s="428"/>
      <c r="AD276" s="660"/>
      <c r="AE276" s="331"/>
      <c r="AF276" s="428"/>
      <c r="AG276" s="428"/>
      <c r="AH276" s="660"/>
      <c r="AI276" s="331"/>
      <c r="AJ276" s="660"/>
      <c r="AK276" s="331"/>
      <c r="AL276" s="330"/>
      <c r="AM276" s="330"/>
      <c r="AN276" s="330"/>
      <c r="AO276" s="331"/>
      <c r="AP276" s="331"/>
      <c r="AQ276" s="331"/>
      <c r="AR276" s="331"/>
      <c r="AS276" s="331"/>
      <c r="AT276" s="330"/>
      <c r="AU276" s="331"/>
      <c r="AV276" s="331"/>
      <c r="AW276" s="331"/>
      <c r="AX276" s="331">
        <f t="shared" si="1"/>
        <v>0</v>
      </c>
    </row>
    <row r="277" spans="1:50" ht="25.5" x14ac:dyDescent="0.2">
      <c r="A277" s="659" t="s">
        <v>593</v>
      </c>
      <c r="B277" s="657"/>
      <c r="C277" s="657" t="s">
        <v>594</v>
      </c>
      <c r="D277" s="331"/>
      <c r="E277" s="428"/>
      <c r="F277" s="428"/>
      <c r="G277" s="660"/>
      <c r="H277" s="428"/>
      <c r="I277" s="428"/>
      <c r="J277" s="428"/>
      <c r="K277" s="428"/>
      <c r="L277" s="660"/>
      <c r="M277" s="428"/>
      <c r="N277" s="428"/>
      <c r="O277" s="428"/>
      <c r="P277" s="660"/>
      <c r="Q277" s="428"/>
      <c r="R277" s="428"/>
      <c r="S277" s="428"/>
      <c r="T277" s="831"/>
      <c r="U277" s="331"/>
      <c r="V277" s="832"/>
      <c r="W277" s="331"/>
      <c r="X277" s="832"/>
      <c r="Y277" s="331"/>
      <c r="Z277" s="832"/>
      <c r="AA277" s="331"/>
      <c r="AB277" s="428"/>
      <c r="AC277" s="428"/>
      <c r="AD277" s="660"/>
      <c r="AE277" s="331"/>
      <c r="AF277" s="428"/>
      <c r="AG277" s="428"/>
      <c r="AH277" s="660"/>
      <c r="AI277" s="331"/>
      <c r="AJ277" s="660"/>
      <c r="AK277" s="331"/>
      <c r="AL277" s="330"/>
      <c r="AM277" s="330"/>
      <c r="AN277" s="330"/>
      <c r="AO277" s="331"/>
      <c r="AP277" s="331"/>
      <c r="AQ277" s="331"/>
      <c r="AR277" s="331"/>
      <c r="AS277" s="331"/>
      <c r="AT277" s="330"/>
      <c r="AU277" s="331"/>
      <c r="AV277" s="331"/>
      <c r="AW277" s="331"/>
      <c r="AX277" s="331">
        <f t="shared" si="1"/>
        <v>0</v>
      </c>
    </row>
    <row r="278" spans="1:50" x14ac:dyDescent="0.2">
      <c r="A278" s="659" t="s">
        <v>595</v>
      </c>
      <c r="B278" s="657"/>
      <c r="C278" s="657" t="s">
        <v>596</v>
      </c>
      <c r="D278" s="331"/>
      <c r="E278" s="428"/>
      <c r="F278" s="428"/>
      <c r="G278" s="660"/>
      <c r="H278" s="428"/>
      <c r="I278" s="428"/>
      <c r="J278" s="428"/>
      <c r="K278" s="428"/>
      <c r="L278" s="660"/>
      <c r="M278" s="428"/>
      <c r="N278" s="428"/>
      <c r="O278" s="428"/>
      <c r="P278" s="660"/>
      <c r="Q278" s="428"/>
      <c r="R278" s="428"/>
      <c r="S278" s="428"/>
      <c r="T278" s="831"/>
      <c r="U278" s="331"/>
      <c r="V278" s="832"/>
      <c r="W278" s="331"/>
      <c r="X278" s="832"/>
      <c r="Y278" s="331"/>
      <c r="Z278" s="832"/>
      <c r="AA278" s="331"/>
      <c r="AB278" s="428"/>
      <c r="AC278" s="428"/>
      <c r="AD278" s="660"/>
      <c r="AE278" s="331"/>
      <c r="AF278" s="428"/>
      <c r="AG278" s="428"/>
      <c r="AH278" s="660"/>
      <c r="AI278" s="331"/>
      <c r="AJ278" s="660"/>
      <c r="AK278" s="331"/>
      <c r="AL278" s="330"/>
      <c r="AM278" s="330"/>
      <c r="AN278" s="330"/>
      <c r="AO278" s="331"/>
      <c r="AP278" s="331"/>
      <c r="AQ278" s="331"/>
      <c r="AR278" s="331"/>
      <c r="AS278" s="331"/>
      <c r="AT278" s="330"/>
      <c r="AU278" s="331"/>
      <c r="AV278" s="331"/>
      <c r="AW278" s="331"/>
      <c r="AX278" s="331">
        <f t="shared" si="1"/>
        <v>0</v>
      </c>
    </row>
    <row r="279" spans="1:50" x14ac:dyDescent="0.2">
      <c r="A279" s="331" t="s">
        <v>1026</v>
      </c>
      <c r="B279" s="331"/>
      <c r="C279" s="331" t="s">
        <v>599</v>
      </c>
      <c r="D279" s="331"/>
      <c r="E279" s="428"/>
      <c r="F279" s="428"/>
      <c r="G279" s="660"/>
      <c r="H279" s="428"/>
      <c r="I279" s="428"/>
      <c r="J279" s="428"/>
      <c r="K279" s="428"/>
      <c r="L279" s="660"/>
      <c r="M279" s="428"/>
      <c r="N279" s="428"/>
      <c r="O279" s="428"/>
      <c r="P279" s="660"/>
      <c r="Q279" s="428"/>
      <c r="R279" s="428"/>
      <c r="S279" s="428"/>
      <c r="T279" s="831"/>
      <c r="U279" s="331"/>
      <c r="V279" s="832"/>
      <c r="W279" s="331"/>
      <c r="X279" s="832"/>
      <c r="Y279" s="331"/>
      <c r="Z279" s="832"/>
      <c r="AA279" s="331"/>
      <c r="AB279" s="428"/>
      <c r="AC279" s="428"/>
      <c r="AD279" s="660"/>
      <c r="AE279" s="331"/>
      <c r="AF279" s="428"/>
      <c r="AG279" s="428"/>
      <c r="AH279" s="660"/>
      <c r="AI279" s="331"/>
      <c r="AJ279" s="660"/>
      <c r="AK279" s="331"/>
      <c r="AL279" s="330"/>
      <c r="AM279" s="330"/>
      <c r="AN279" s="330"/>
      <c r="AO279" s="331"/>
      <c r="AP279" s="331"/>
      <c r="AQ279" s="331"/>
      <c r="AR279" s="331"/>
      <c r="AS279" s="331"/>
      <c r="AT279" s="330"/>
      <c r="AU279" s="331"/>
      <c r="AV279" s="331"/>
      <c r="AW279" s="331"/>
      <c r="AX279" s="331">
        <f t="shared" si="1"/>
        <v>0</v>
      </c>
    </row>
    <row r="280" spans="1:50" x14ac:dyDescent="0.2">
      <c r="A280" s="331" t="s">
        <v>1027</v>
      </c>
      <c r="B280" s="331"/>
      <c r="C280" s="331" t="s">
        <v>600</v>
      </c>
      <c r="D280" s="331"/>
      <c r="E280" s="428"/>
      <c r="F280" s="428"/>
      <c r="G280" s="660"/>
      <c r="H280" s="428"/>
      <c r="I280" s="428"/>
      <c r="J280" s="428"/>
      <c r="K280" s="428"/>
      <c r="L280" s="660"/>
      <c r="M280" s="428"/>
      <c r="N280" s="428"/>
      <c r="O280" s="428"/>
      <c r="P280" s="660"/>
      <c r="Q280" s="428"/>
      <c r="R280" s="428"/>
      <c r="S280" s="428"/>
      <c r="T280" s="831"/>
      <c r="U280" s="331"/>
      <c r="V280" s="832"/>
      <c r="W280" s="331"/>
      <c r="X280" s="832"/>
      <c r="Y280" s="331"/>
      <c r="Z280" s="832"/>
      <c r="AA280" s="331"/>
      <c r="AB280" s="428"/>
      <c r="AC280" s="428"/>
      <c r="AD280" s="660"/>
      <c r="AE280" s="331"/>
      <c r="AF280" s="428"/>
      <c r="AG280" s="428"/>
      <c r="AH280" s="660"/>
      <c r="AI280" s="331"/>
      <c r="AJ280" s="660"/>
      <c r="AK280" s="331"/>
      <c r="AL280" s="330"/>
      <c r="AM280" s="330"/>
      <c r="AN280" s="330"/>
      <c r="AO280" s="331"/>
      <c r="AP280" s="331"/>
      <c r="AQ280" s="331"/>
      <c r="AR280" s="331"/>
      <c r="AS280" s="331"/>
      <c r="AT280" s="330"/>
      <c r="AU280" s="331"/>
      <c r="AV280" s="331"/>
      <c r="AW280" s="331"/>
      <c r="AX280" s="331">
        <f t="shared" si="1"/>
        <v>0</v>
      </c>
    </row>
    <row r="281" spans="1:50" x14ac:dyDescent="0.2">
      <c r="A281" s="331" t="s">
        <v>1014</v>
      </c>
      <c r="B281" s="331"/>
      <c r="C281" s="331" t="s">
        <v>601</v>
      </c>
      <c r="D281" s="331"/>
      <c r="E281" s="331"/>
      <c r="F281" s="331"/>
      <c r="G281" s="331"/>
      <c r="H281" s="331"/>
      <c r="I281" s="331"/>
      <c r="J281" s="331"/>
      <c r="K281" s="331"/>
      <c r="L281" s="331"/>
      <c r="M281" s="331"/>
      <c r="N281" s="331"/>
      <c r="O281" s="331"/>
      <c r="P281" s="331"/>
      <c r="Q281" s="331"/>
      <c r="R281" s="331"/>
      <c r="S281" s="331"/>
      <c r="T281" s="331"/>
      <c r="U281" s="331"/>
      <c r="V281" s="331"/>
      <c r="W281" s="331"/>
      <c r="X281" s="331"/>
      <c r="Y281" s="331"/>
      <c r="Z281" s="331"/>
      <c r="AA281" s="331"/>
      <c r="AB281" s="428"/>
      <c r="AC281" s="428"/>
      <c r="AD281" s="660"/>
      <c r="AE281" s="331"/>
      <c r="AF281" s="428"/>
      <c r="AG281" s="428"/>
      <c r="AH281" s="660"/>
      <c r="AI281" s="331"/>
      <c r="AJ281" s="660"/>
      <c r="AK281" s="331"/>
      <c r="AL281" s="330"/>
      <c r="AM281" s="330"/>
      <c r="AN281" s="330"/>
      <c r="AO281" s="331"/>
      <c r="AP281" s="331"/>
      <c r="AQ281" s="331"/>
      <c r="AR281" s="331"/>
      <c r="AS281" s="331"/>
      <c r="AT281" s="330"/>
      <c r="AU281" s="331"/>
      <c r="AV281" s="331"/>
      <c r="AW281" s="331"/>
      <c r="AX281" s="331">
        <f t="shared" si="1"/>
        <v>0</v>
      </c>
    </row>
    <row r="282" spans="1:50" x14ac:dyDescent="0.2">
      <c r="A282" s="331" t="s">
        <v>1015</v>
      </c>
      <c r="B282" s="331"/>
      <c r="C282" s="331" t="s">
        <v>602</v>
      </c>
      <c r="D282" s="331"/>
      <c r="E282" s="331"/>
      <c r="F282" s="331"/>
      <c r="G282" s="331"/>
      <c r="H282" s="331"/>
      <c r="I282" s="331"/>
      <c r="J282" s="331"/>
      <c r="K282" s="331"/>
      <c r="L282" s="331"/>
      <c r="M282" s="331"/>
      <c r="N282" s="331"/>
      <c r="O282" s="331"/>
      <c r="P282" s="331"/>
      <c r="Q282" s="331"/>
      <c r="R282" s="331"/>
      <c r="S282" s="331"/>
      <c r="T282" s="331"/>
      <c r="U282" s="331"/>
      <c r="V282" s="331"/>
      <c r="W282" s="331"/>
      <c r="X282" s="331"/>
      <c r="Y282" s="331"/>
      <c r="Z282" s="331"/>
      <c r="AA282" s="331"/>
      <c r="AB282" s="428"/>
      <c r="AC282" s="428"/>
      <c r="AD282" s="660"/>
      <c r="AE282" s="331"/>
      <c r="AF282" s="428"/>
      <c r="AG282" s="428"/>
      <c r="AH282" s="660"/>
      <c r="AI282" s="331"/>
      <c r="AJ282" s="660"/>
      <c r="AK282" s="331"/>
      <c r="AL282" s="330"/>
      <c r="AM282" s="330"/>
      <c r="AN282" s="330"/>
      <c r="AO282" s="331"/>
      <c r="AP282" s="331"/>
      <c r="AQ282" s="331"/>
      <c r="AR282" s="331"/>
      <c r="AS282" s="331"/>
      <c r="AT282" s="330"/>
      <c r="AU282" s="331"/>
      <c r="AV282" s="331"/>
      <c r="AW282" s="331"/>
      <c r="AX282" s="331">
        <f t="shared" si="1"/>
        <v>0</v>
      </c>
    </row>
    <row r="283" spans="1:50" x14ac:dyDescent="0.2">
      <c r="A283" s="331" t="s">
        <v>1016</v>
      </c>
      <c r="B283" s="331"/>
      <c r="C283" s="331" t="s">
        <v>604</v>
      </c>
      <c r="D283" s="331"/>
      <c r="E283" s="331"/>
      <c r="F283" s="331"/>
      <c r="G283" s="331"/>
      <c r="H283" s="331"/>
      <c r="I283" s="331"/>
      <c r="J283" s="331"/>
      <c r="K283" s="331"/>
      <c r="L283" s="331"/>
      <c r="M283" s="331"/>
      <c r="N283" s="331"/>
      <c r="O283" s="331"/>
      <c r="P283" s="331"/>
      <c r="Q283" s="331"/>
      <c r="R283" s="331"/>
      <c r="S283" s="331"/>
      <c r="T283" s="331"/>
      <c r="U283" s="331"/>
      <c r="V283" s="331"/>
      <c r="W283" s="331"/>
      <c r="X283" s="331"/>
      <c r="Y283" s="331"/>
      <c r="Z283" s="331"/>
      <c r="AA283" s="331"/>
      <c r="AB283" s="428"/>
      <c r="AC283" s="428"/>
      <c r="AD283" s="660"/>
      <c r="AE283" s="331"/>
      <c r="AF283" s="428"/>
      <c r="AG283" s="428"/>
      <c r="AH283" s="660"/>
      <c r="AI283" s="331"/>
      <c r="AJ283" s="660"/>
      <c r="AK283" s="331"/>
      <c r="AL283" s="330"/>
      <c r="AM283" s="330"/>
      <c r="AN283" s="330"/>
      <c r="AO283" s="331"/>
      <c r="AP283" s="331"/>
      <c r="AQ283" s="331"/>
      <c r="AR283" s="331"/>
      <c r="AS283" s="331"/>
      <c r="AT283" s="330"/>
      <c r="AU283" s="331"/>
      <c r="AV283" s="331"/>
      <c r="AW283" s="331"/>
      <c r="AX283" s="331">
        <f t="shared" si="1"/>
        <v>0</v>
      </c>
    </row>
    <row r="284" spans="1:50" x14ac:dyDescent="0.2">
      <c r="A284" s="331" t="s">
        <v>1017</v>
      </c>
      <c r="B284" s="331"/>
      <c r="C284" s="331" t="s">
        <v>605</v>
      </c>
      <c r="D284" s="331"/>
      <c r="E284" s="331"/>
      <c r="F284" s="331"/>
      <c r="G284" s="331"/>
      <c r="H284" s="331"/>
      <c r="I284" s="331"/>
      <c r="J284" s="331"/>
      <c r="K284" s="331"/>
      <c r="L284" s="331"/>
      <c r="M284" s="331"/>
      <c r="N284" s="331"/>
      <c r="O284" s="331"/>
      <c r="P284" s="331"/>
      <c r="Q284" s="331"/>
      <c r="R284" s="331"/>
      <c r="S284" s="331"/>
      <c r="T284" s="331"/>
      <c r="U284" s="331"/>
      <c r="V284" s="331"/>
      <c r="W284" s="331"/>
      <c r="X284" s="331"/>
      <c r="Y284" s="331"/>
      <c r="Z284" s="331"/>
      <c r="AA284" s="331"/>
      <c r="AB284" s="428"/>
      <c r="AC284" s="428"/>
      <c r="AD284" s="660"/>
      <c r="AE284" s="331"/>
      <c r="AF284" s="428"/>
      <c r="AG284" s="428"/>
      <c r="AH284" s="660"/>
      <c r="AI284" s="331"/>
      <c r="AJ284" s="660"/>
      <c r="AK284" s="331"/>
      <c r="AL284" s="330"/>
      <c r="AM284" s="330"/>
      <c r="AN284" s="330"/>
      <c r="AO284" s="331"/>
      <c r="AP284" s="331"/>
      <c r="AQ284" s="331"/>
      <c r="AR284" s="331"/>
      <c r="AS284" s="331"/>
      <c r="AT284" s="330"/>
      <c r="AU284" s="331"/>
      <c r="AV284" s="331"/>
      <c r="AW284" s="331"/>
      <c r="AX284" s="331">
        <f t="shared" si="1"/>
        <v>0</v>
      </c>
    </row>
    <row r="285" spans="1:50" x14ac:dyDescent="0.2">
      <c r="A285" s="612" t="s">
        <v>1018</v>
      </c>
      <c r="B285" s="658"/>
      <c r="C285" s="658" t="s">
        <v>607</v>
      </c>
      <c r="D285" s="331"/>
      <c r="E285" s="331"/>
      <c r="F285" s="331"/>
      <c r="G285" s="331"/>
      <c r="H285" s="331"/>
      <c r="I285" s="331"/>
      <c r="J285" s="331"/>
      <c r="K285" s="331"/>
      <c r="L285" s="331"/>
      <c r="M285" s="331"/>
      <c r="N285" s="331"/>
      <c r="O285" s="331"/>
      <c r="P285" s="331"/>
      <c r="Q285" s="331"/>
      <c r="R285" s="331"/>
      <c r="S285" s="331"/>
      <c r="T285" s="331"/>
      <c r="U285" s="331"/>
      <c r="V285" s="331"/>
      <c r="W285" s="331"/>
      <c r="X285" s="331"/>
      <c r="Y285" s="331"/>
      <c r="Z285" s="331"/>
      <c r="AA285" s="331"/>
      <c r="AB285" s="428"/>
      <c r="AC285" s="428"/>
      <c r="AD285" s="660"/>
      <c r="AE285" s="331"/>
      <c r="AF285" s="428"/>
      <c r="AG285" s="428"/>
      <c r="AH285" s="660"/>
      <c r="AI285" s="331"/>
      <c r="AJ285" s="660"/>
      <c r="AK285" s="331"/>
      <c r="AL285" s="330"/>
      <c r="AM285" s="330"/>
      <c r="AN285" s="330"/>
      <c r="AO285" s="331"/>
      <c r="AP285" s="331"/>
      <c r="AQ285" s="331"/>
      <c r="AR285" s="331"/>
      <c r="AS285" s="331"/>
      <c r="AT285" s="330"/>
      <c r="AU285" s="331"/>
      <c r="AV285" s="331"/>
      <c r="AW285" s="331"/>
      <c r="AX285" s="331">
        <f t="shared" si="1"/>
        <v>0</v>
      </c>
    </row>
    <row r="286" spans="1:50" x14ac:dyDescent="0.2">
      <c r="A286" s="664" t="s">
        <v>1019</v>
      </c>
      <c r="B286" s="662"/>
      <c r="C286" s="662" t="s">
        <v>608</v>
      </c>
      <c r="D286" s="331"/>
      <c r="E286" s="331"/>
      <c r="F286" s="331"/>
      <c r="G286" s="331"/>
      <c r="H286" s="331"/>
      <c r="I286" s="331"/>
      <c r="J286" s="331"/>
      <c r="K286" s="331"/>
      <c r="L286" s="331"/>
      <c r="M286" s="331"/>
      <c r="N286" s="331"/>
      <c r="O286" s="331"/>
      <c r="P286" s="331"/>
      <c r="Q286" s="331"/>
      <c r="R286" s="331"/>
      <c r="S286" s="331"/>
      <c r="T286" s="331"/>
      <c r="U286" s="331"/>
      <c r="V286" s="331"/>
      <c r="W286" s="331"/>
      <c r="X286" s="331"/>
      <c r="Y286" s="331"/>
      <c r="Z286" s="331"/>
      <c r="AA286" s="331"/>
      <c r="AB286" s="428"/>
      <c r="AC286" s="428"/>
      <c r="AD286" s="660"/>
      <c r="AE286" s="331"/>
      <c r="AF286" s="428"/>
      <c r="AG286" s="428"/>
      <c r="AH286" s="660"/>
      <c r="AI286" s="331"/>
      <c r="AJ286" s="660"/>
      <c r="AK286" s="331"/>
      <c r="AL286" s="330"/>
      <c r="AM286" s="330"/>
      <c r="AN286" s="330"/>
      <c r="AO286" s="331"/>
      <c r="AP286" s="331"/>
      <c r="AQ286" s="331"/>
      <c r="AR286" s="331"/>
      <c r="AS286" s="331"/>
      <c r="AT286" s="330"/>
      <c r="AU286" s="331"/>
      <c r="AV286" s="331"/>
      <c r="AW286" s="331"/>
      <c r="AX286" s="331">
        <f t="shared" si="1"/>
        <v>0</v>
      </c>
    </row>
    <row r="287" spans="1:50" x14ac:dyDescent="0.2">
      <c r="A287" s="607" t="s">
        <v>1020</v>
      </c>
      <c r="B287" s="807"/>
      <c r="C287" s="807" t="s">
        <v>609</v>
      </c>
      <c r="D287" s="331"/>
      <c r="E287" s="331"/>
      <c r="F287" s="331"/>
      <c r="G287" s="331"/>
      <c r="H287" s="331"/>
      <c r="I287" s="331"/>
      <c r="J287" s="331"/>
      <c r="K287" s="331"/>
      <c r="L287" s="331"/>
      <c r="M287" s="331"/>
      <c r="N287" s="331"/>
      <c r="O287" s="331"/>
      <c r="P287" s="331"/>
      <c r="Q287" s="331"/>
      <c r="R287" s="331"/>
      <c r="S287" s="331"/>
      <c r="T287" s="331"/>
      <c r="U287" s="331"/>
      <c r="V287" s="331"/>
      <c r="W287" s="331"/>
      <c r="X287" s="331"/>
      <c r="Y287" s="331"/>
      <c r="Z287" s="331"/>
      <c r="AA287" s="331"/>
      <c r="AB287" s="428"/>
      <c r="AC287" s="428"/>
      <c r="AD287" s="660"/>
      <c r="AE287" s="331"/>
      <c r="AF287" s="428"/>
      <c r="AG287" s="428"/>
      <c r="AH287" s="660"/>
      <c r="AI287" s="331"/>
      <c r="AJ287" s="660"/>
      <c r="AK287" s="331"/>
      <c r="AL287" s="330"/>
      <c r="AM287" s="330"/>
      <c r="AN287" s="330"/>
      <c r="AO287" s="331"/>
      <c r="AP287" s="331"/>
      <c r="AQ287" s="331"/>
      <c r="AR287" s="331"/>
      <c r="AS287" s="331"/>
      <c r="AT287" s="330"/>
      <c r="AU287" s="331"/>
      <c r="AV287" s="331"/>
      <c r="AW287" s="331"/>
      <c r="AX287" s="331">
        <f t="shared" si="1"/>
        <v>0</v>
      </c>
    </row>
    <row r="288" spans="1:50" x14ac:dyDescent="0.2">
      <c r="A288" s="808" t="s">
        <v>1021</v>
      </c>
      <c r="B288" s="662"/>
      <c r="C288" s="662" t="s">
        <v>610</v>
      </c>
      <c r="D288" s="331"/>
      <c r="E288" s="331"/>
      <c r="F288" s="331"/>
      <c r="G288" s="331"/>
      <c r="H288" s="331"/>
      <c r="I288" s="331"/>
      <c r="J288" s="331"/>
      <c r="K288" s="331"/>
      <c r="L288" s="331"/>
      <c r="M288" s="331"/>
      <c r="N288" s="331"/>
      <c r="O288" s="331"/>
      <c r="P288" s="331"/>
      <c r="Q288" s="331"/>
      <c r="R288" s="331"/>
      <c r="S288" s="331"/>
      <c r="T288" s="331"/>
      <c r="U288" s="331"/>
      <c r="V288" s="331"/>
      <c r="W288" s="331"/>
      <c r="X288" s="331"/>
      <c r="Y288" s="331"/>
      <c r="Z288" s="331"/>
      <c r="AA288" s="331"/>
      <c r="AB288" s="428"/>
      <c r="AC288" s="428"/>
      <c r="AD288" s="660"/>
      <c r="AE288" s="331"/>
      <c r="AF288" s="428"/>
      <c r="AG288" s="428"/>
      <c r="AH288" s="660"/>
      <c r="AI288" s="331"/>
      <c r="AJ288" s="660"/>
      <c r="AK288" s="331"/>
      <c r="AL288" s="330"/>
      <c r="AM288" s="330"/>
      <c r="AN288" s="330"/>
      <c r="AO288" s="331"/>
      <c r="AP288" s="331"/>
      <c r="AQ288" s="331"/>
      <c r="AR288" s="331"/>
      <c r="AS288" s="331"/>
      <c r="AT288" s="330"/>
      <c r="AU288" s="331"/>
      <c r="AV288" s="331"/>
      <c r="AW288" s="331"/>
      <c r="AX288" s="331">
        <f t="shared" si="1"/>
        <v>0</v>
      </c>
    </row>
    <row r="289" spans="1:50" x14ac:dyDescent="0.2">
      <c r="A289" s="612" t="s">
        <v>1022</v>
      </c>
      <c r="B289" s="608"/>
      <c r="C289" s="608" t="s">
        <v>611</v>
      </c>
      <c r="D289" s="331"/>
      <c r="E289" s="331"/>
      <c r="F289" s="331"/>
      <c r="G289" s="331"/>
      <c r="H289" s="331"/>
      <c r="I289" s="331"/>
      <c r="J289" s="331"/>
      <c r="K289" s="331"/>
      <c r="L289" s="331"/>
      <c r="M289" s="331"/>
      <c r="N289" s="331"/>
      <c r="O289" s="331"/>
      <c r="P289" s="331"/>
      <c r="Q289" s="331"/>
      <c r="R289" s="331"/>
      <c r="S289" s="331"/>
      <c r="T289" s="331"/>
      <c r="U289" s="331"/>
      <c r="V289" s="331"/>
      <c r="W289" s="331"/>
      <c r="X289" s="331"/>
      <c r="Y289" s="331"/>
      <c r="Z289" s="331"/>
      <c r="AA289" s="331"/>
      <c r="AB289" s="428"/>
      <c r="AC289" s="428"/>
      <c r="AD289" s="660"/>
      <c r="AE289" s="331"/>
      <c r="AF289" s="428"/>
      <c r="AG289" s="428"/>
      <c r="AH289" s="660"/>
      <c r="AI289" s="331"/>
      <c r="AJ289" s="660"/>
      <c r="AK289" s="331"/>
      <c r="AL289" s="330"/>
      <c r="AM289" s="330"/>
      <c r="AN289" s="330"/>
      <c r="AO289" s="331"/>
      <c r="AP289" s="331"/>
      <c r="AQ289" s="331"/>
      <c r="AR289" s="331"/>
      <c r="AS289" s="331"/>
      <c r="AT289" s="330"/>
      <c r="AU289" s="331"/>
      <c r="AV289" s="331"/>
      <c r="AW289" s="331"/>
      <c r="AX289" s="331">
        <f t="shared" si="1"/>
        <v>0</v>
      </c>
    </row>
    <row r="290" spans="1:50" x14ac:dyDescent="0.2">
      <c r="A290" s="607" t="s">
        <v>905</v>
      </c>
      <c r="B290" s="608"/>
      <c r="C290" s="608" t="s">
        <v>612</v>
      </c>
      <c r="D290" s="331"/>
      <c r="E290" s="331"/>
      <c r="F290" s="331"/>
      <c r="G290" s="331"/>
      <c r="H290" s="331"/>
      <c r="I290" s="331"/>
      <c r="J290" s="331"/>
      <c r="K290" s="331"/>
      <c r="L290" s="331"/>
      <c r="M290" s="331"/>
      <c r="N290" s="331"/>
      <c r="O290" s="331"/>
      <c r="P290" s="331"/>
      <c r="Q290" s="331"/>
      <c r="R290" s="331"/>
      <c r="S290" s="331"/>
      <c r="T290" s="331"/>
      <c r="U290" s="331"/>
      <c r="V290" s="331"/>
      <c r="W290" s="331"/>
      <c r="X290" s="331"/>
      <c r="Y290" s="331"/>
      <c r="Z290" s="331"/>
      <c r="AA290" s="331"/>
      <c r="AB290" s="428"/>
      <c r="AC290" s="428"/>
      <c r="AD290" s="660"/>
      <c r="AE290" s="331"/>
      <c r="AF290" s="428"/>
      <c r="AG290" s="428"/>
      <c r="AH290" s="660"/>
      <c r="AI290" s="331"/>
      <c r="AJ290" s="660"/>
      <c r="AK290" s="331"/>
      <c r="AL290" s="330"/>
      <c r="AM290" s="330"/>
      <c r="AN290" s="330"/>
      <c r="AO290" s="331"/>
      <c r="AP290" s="331"/>
      <c r="AQ290" s="331"/>
      <c r="AR290" s="331"/>
      <c r="AS290" s="331"/>
      <c r="AT290" s="330"/>
      <c r="AU290" s="331"/>
      <c r="AV290" s="331"/>
      <c r="AW290" s="331"/>
      <c r="AX290" s="331">
        <f t="shared" si="1"/>
        <v>0</v>
      </c>
    </row>
    <row r="291" spans="1:50" x14ac:dyDescent="0.2">
      <c r="A291" s="808" t="s">
        <v>1023</v>
      </c>
      <c r="B291" s="802"/>
      <c r="C291" s="802" t="s">
        <v>614</v>
      </c>
      <c r="D291" s="331"/>
      <c r="E291" s="331"/>
      <c r="F291" s="331"/>
      <c r="G291" s="331"/>
      <c r="H291" s="331"/>
      <c r="I291" s="331"/>
      <c r="J291" s="331"/>
      <c r="K291" s="331"/>
      <c r="L291" s="331"/>
      <c r="M291" s="331"/>
      <c r="N291" s="331"/>
      <c r="O291" s="331"/>
      <c r="P291" s="331"/>
      <c r="Q291" s="331"/>
      <c r="R291" s="331"/>
      <c r="S291" s="331"/>
      <c r="T291" s="331"/>
      <c r="U291" s="331"/>
      <c r="V291" s="331"/>
      <c r="W291" s="331"/>
      <c r="X291" s="331"/>
      <c r="Y291" s="331"/>
      <c r="Z291" s="331"/>
      <c r="AA291" s="331"/>
      <c r="AB291" s="428"/>
      <c r="AC291" s="428"/>
      <c r="AD291" s="660"/>
      <c r="AE291" s="331"/>
      <c r="AF291" s="428"/>
      <c r="AG291" s="428"/>
      <c r="AH291" s="660"/>
      <c r="AI291" s="331"/>
      <c r="AJ291" s="660"/>
      <c r="AK291" s="331"/>
      <c r="AL291" s="330"/>
      <c r="AM291" s="330"/>
      <c r="AN291" s="330"/>
      <c r="AO291" s="331"/>
      <c r="AP291" s="331"/>
      <c r="AQ291" s="331"/>
      <c r="AR291" s="331"/>
      <c r="AS291" s="331"/>
      <c r="AT291" s="330"/>
      <c r="AU291" s="331"/>
      <c r="AV291" s="331"/>
      <c r="AW291" s="331"/>
      <c r="AX291" s="331">
        <f t="shared" si="1"/>
        <v>0</v>
      </c>
    </row>
    <row r="292" spans="1:50" x14ac:dyDescent="0.2">
      <c r="A292" s="612" t="s">
        <v>1024</v>
      </c>
      <c r="B292" s="608"/>
      <c r="C292" s="608">
        <v>206043</v>
      </c>
      <c r="D292" s="331"/>
      <c r="E292" s="331"/>
      <c r="F292" s="331"/>
      <c r="G292" s="331"/>
      <c r="H292" s="331"/>
      <c r="I292" s="331"/>
      <c r="J292" s="331"/>
      <c r="K292" s="331"/>
      <c r="L292" s="331"/>
      <c r="M292" s="331"/>
      <c r="N292" s="331"/>
      <c r="O292" s="331"/>
      <c r="P292" s="331"/>
      <c r="Q292" s="331"/>
      <c r="R292" s="331"/>
      <c r="S292" s="331"/>
      <c r="T292" s="331"/>
      <c r="U292" s="331"/>
      <c r="V292" s="331"/>
      <c r="W292" s="331"/>
      <c r="X292" s="331"/>
      <c r="Y292" s="331"/>
      <c r="Z292" s="331"/>
      <c r="AA292" s="331"/>
      <c r="AB292" s="428"/>
      <c r="AC292" s="428"/>
      <c r="AD292" s="660"/>
      <c r="AE292" s="331"/>
      <c r="AF292" s="428"/>
      <c r="AG292" s="428"/>
      <c r="AH292" s="660"/>
      <c r="AI292" s="331"/>
      <c r="AJ292" s="660"/>
      <c r="AK292" s="331"/>
      <c r="AL292" s="330"/>
      <c r="AM292" s="330"/>
      <c r="AN292" s="330"/>
      <c r="AO292" s="331"/>
      <c r="AP292" s="331"/>
      <c r="AQ292" s="331"/>
      <c r="AR292" s="331"/>
      <c r="AS292" s="331"/>
      <c r="AT292" s="330"/>
      <c r="AU292" s="331"/>
      <c r="AV292" s="331"/>
      <c r="AW292" s="331"/>
      <c r="AX292" s="331">
        <f t="shared" si="1"/>
        <v>0</v>
      </c>
    </row>
    <row r="293" spans="1:50" x14ac:dyDescent="0.2">
      <c r="A293" s="611" t="s">
        <v>1025</v>
      </c>
      <c r="B293" s="809"/>
      <c r="C293" s="809" t="s">
        <v>616</v>
      </c>
      <c r="D293" s="331"/>
      <c r="E293" s="331"/>
      <c r="F293" s="331"/>
      <c r="G293" s="331"/>
      <c r="H293" s="331"/>
      <c r="I293" s="331"/>
      <c r="J293" s="331"/>
      <c r="K293" s="331"/>
      <c r="L293" s="331"/>
      <c r="M293" s="331"/>
      <c r="N293" s="331"/>
      <c r="O293" s="331"/>
      <c r="P293" s="331"/>
      <c r="Q293" s="331"/>
      <c r="R293" s="331"/>
      <c r="S293" s="331"/>
      <c r="T293" s="331"/>
      <c r="U293" s="331"/>
      <c r="V293" s="331"/>
      <c r="W293" s="331"/>
      <c r="X293" s="331"/>
      <c r="Y293" s="331"/>
      <c r="Z293" s="331"/>
      <c r="AA293" s="331"/>
      <c r="AB293" s="428"/>
      <c r="AC293" s="428"/>
      <c r="AD293" s="660"/>
      <c r="AE293" s="331"/>
      <c r="AF293" s="428"/>
      <c r="AG293" s="428"/>
      <c r="AH293" s="660"/>
      <c r="AI293" s="331"/>
      <c r="AJ293" s="660"/>
      <c r="AK293" s="331"/>
      <c r="AL293" s="330"/>
      <c r="AM293" s="330"/>
      <c r="AN293" s="330"/>
      <c r="AO293" s="331"/>
      <c r="AP293" s="331"/>
      <c r="AQ293" s="331"/>
      <c r="AR293" s="331"/>
      <c r="AS293" s="331"/>
      <c r="AT293" s="330"/>
      <c r="AU293" s="331"/>
      <c r="AV293" s="331"/>
      <c r="AW293" s="331"/>
      <c r="AX293" s="331">
        <f t="shared" si="1"/>
        <v>0</v>
      </c>
    </row>
    <row r="294" spans="1:50" x14ac:dyDescent="0.2">
      <c r="A294" s="804" t="s">
        <v>669</v>
      </c>
      <c r="B294" s="722"/>
      <c r="C294" s="722" t="s">
        <v>670</v>
      </c>
      <c r="D294" s="331"/>
      <c r="E294" s="331"/>
      <c r="F294" s="331"/>
      <c r="G294" s="331"/>
      <c r="H294" s="331"/>
      <c r="I294" s="331"/>
      <c r="J294" s="331"/>
      <c r="K294" s="331"/>
      <c r="L294" s="331"/>
      <c r="M294" s="331"/>
      <c r="N294" s="331"/>
      <c r="O294" s="331"/>
      <c r="P294" s="331"/>
      <c r="Q294" s="331"/>
      <c r="R294" s="331"/>
      <c r="S294" s="331"/>
      <c r="T294" s="331"/>
      <c r="U294" s="331"/>
      <c r="V294" s="331"/>
      <c r="W294" s="331"/>
      <c r="X294" s="331"/>
      <c r="Y294" s="331"/>
      <c r="Z294" s="331"/>
      <c r="AA294" s="331"/>
      <c r="AB294" s="428"/>
      <c r="AC294" s="428"/>
      <c r="AD294" s="660"/>
      <c r="AE294" s="331"/>
      <c r="AF294" s="428"/>
      <c r="AG294" s="428"/>
      <c r="AH294" s="660"/>
      <c r="AI294" s="331"/>
      <c r="AJ294" s="660"/>
      <c r="AK294" s="331"/>
      <c r="AL294" s="330"/>
      <c r="AM294" s="330"/>
      <c r="AN294" s="330"/>
      <c r="AO294" s="331"/>
      <c r="AP294" s="331"/>
      <c r="AQ294" s="331"/>
      <c r="AR294" s="331"/>
      <c r="AS294" s="331"/>
      <c r="AT294" s="330"/>
      <c r="AU294" s="331"/>
      <c r="AV294" s="331"/>
      <c r="AW294" s="331"/>
      <c r="AX294" s="331">
        <f t="shared" si="1"/>
        <v>0</v>
      </c>
    </row>
    <row r="295" spans="1:50" x14ac:dyDescent="0.2">
      <c r="A295" s="659" t="s">
        <v>681</v>
      </c>
      <c r="B295" s="657"/>
      <c r="C295" s="657" t="s">
        <v>682</v>
      </c>
      <c r="D295" s="331"/>
      <c r="E295" s="331"/>
      <c r="F295" s="331"/>
      <c r="G295" s="331"/>
      <c r="H295" s="331"/>
      <c r="I295" s="331"/>
      <c r="J295" s="331"/>
      <c r="K295" s="331"/>
      <c r="L295" s="331"/>
      <c r="M295" s="331"/>
      <c r="N295" s="331"/>
      <c r="O295" s="331"/>
      <c r="P295" s="331"/>
      <c r="Q295" s="331"/>
      <c r="R295" s="331"/>
      <c r="S295" s="331"/>
      <c r="T295" s="331"/>
      <c r="U295" s="331"/>
      <c r="V295" s="331"/>
      <c r="W295" s="331"/>
      <c r="X295" s="331"/>
      <c r="Y295" s="331"/>
      <c r="Z295" s="331"/>
      <c r="AA295" s="331"/>
      <c r="AB295" s="428"/>
      <c r="AC295" s="428"/>
      <c r="AD295" s="660"/>
      <c r="AE295" s="331"/>
      <c r="AF295" s="428"/>
      <c r="AG295" s="428"/>
      <c r="AH295" s="660"/>
      <c r="AI295" s="331"/>
      <c r="AJ295" s="660"/>
      <c r="AK295" s="331"/>
      <c r="AL295" s="330"/>
      <c r="AM295" s="330"/>
      <c r="AN295" s="330"/>
      <c r="AO295" s="331"/>
      <c r="AP295" s="331"/>
      <c r="AQ295" s="331"/>
      <c r="AR295" s="331"/>
      <c r="AS295" s="331"/>
      <c r="AT295" s="330"/>
      <c r="AU295" s="331"/>
      <c r="AV295" s="331"/>
      <c r="AW295" s="331"/>
      <c r="AX295" s="331">
        <f t="shared" si="1"/>
        <v>0</v>
      </c>
    </row>
    <row r="296" spans="1:50" x14ac:dyDescent="0.2">
      <c r="A296" s="491" t="s">
        <v>653</v>
      </c>
      <c r="B296" s="706"/>
      <c r="C296" s="706" t="s">
        <v>654</v>
      </c>
      <c r="D296" s="331"/>
      <c r="E296" s="331"/>
      <c r="F296" s="331"/>
      <c r="G296" s="331"/>
      <c r="H296" s="331"/>
      <c r="I296" s="331"/>
      <c r="J296" s="331"/>
      <c r="K296" s="331"/>
      <c r="L296" s="331"/>
      <c r="M296" s="331"/>
      <c r="N296" s="331"/>
      <c r="O296" s="331"/>
      <c r="P296" s="331"/>
      <c r="Q296" s="331"/>
      <c r="R296" s="331"/>
      <c r="S296" s="331"/>
      <c r="T296" s="331"/>
      <c r="U296" s="331"/>
      <c r="V296" s="331"/>
      <c r="W296" s="331"/>
      <c r="X296" s="331"/>
      <c r="Y296" s="331"/>
      <c r="Z296" s="331"/>
      <c r="AA296" s="331"/>
      <c r="AB296" s="428"/>
      <c r="AC296" s="428"/>
      <c r="AD296" s="660"/>
      <c r="AE296" s="331"/>
      <c r="AF296" s="428"/>
      <c r="AG296" s="428"/>
      <c r="AH296" s="660"/>
      <c r="AI296" s="331"/>
      <c r="AJ296" s="660"/>
      <c r="AK296" s="331"/>
      <c r="AL296" s="330"/>
      <c r="AM296" s="330"/>
      <c r="AN296" s="330"/>
      <c r="AO296" s="331"/>
      <c r="AP296" s="331"/>
      <c r="AQ296" s="331"/>
      <c r="AR296" s="331"/>
      <c r="AS296" s="331"/>
      <c r="AT296" s="330"/>
      <c r="AU296" s="331"/>
      <c r="AV296" s="331"/>
      <c r="AW296" s="331"/>
      <c r="AX296" s="331">
        <f t="shared" si="1"/>
        <v>0</v>
      </c>
    </row>
    <row r="297" spans="1:50" x14ac:dyDescent="0.2">
      <c r="A297" s="215" t="s">
        <v>63</v>
      </c>
      <c r="B297" s="823"/>
      <c r="C297" s="823">
        <v>2448</v>
      </c>
      <c r="D297" s="331"/>
      <c r="E297" s="331"/>
      <c r="F297" s="331"/>
      <c r="G297" s="331"/>
      <c r="H297" s="331"/>
      <c r="I297" s="331"/>
      <c r="J297" s="331"/>
      <c r="K297" s="331"/>
      <c r="L297" s="331"/>
      <c r="M297" s="331"/>
      <c r="N297" s="331"/>
      <c r="O297" s="331"/>
      <c r="P297" s="331"/>
      <c r="Q297" s="331"/>
      <c r="R297" s="331"/>
      <c r="S297" s="331"/>
      <c r="T297" s="331"/>
      <c r="U297" s="331"/>
      <c r="V297" s="331"/>
      <c r="W297" s="331"/>
      <c r="X297" s="331"/>
      <c r="Y297" s="331"/>
      <c r="Z297" s="331"/>
      <c r="AA297" s="331"/>
      <c r="AB297" s="428"/>
      <c r="AC297" s="428"/>
      <c r="AD297" s="660"/>
      <c r="AE297" s="331"/>
      <c r="AF297" s="428"/>
      <c r="AG297" s="428"/>
      <c r="AH297" s="660"/>
      <c r="AI297" s="331"/>
      <c r="AJ297" s="660"/>
      <c r="AK297" s="331"/>
      <c r="AL297" s="330"/>
      <c r="AM297" s="330"/>
      <c r="AN297" s="330"/>
      <c r="AO297" s="331"/>
      <c r="AP297" s="331"/>
      <c r="AQ297" s="331"/>
      <c r="AR297" s="331"/>
      <c r="AS297" s="331"/>
      <c r="AT297" s="330"/>
      <c r="AU297" s="331"/>
      <c r="AV297" s="331"/>
      <c r="AW297" s="331"/>
      <c r="AX297" s="331">
        <f t="shared" si="1"/>
        <v>0</v>
      </c>
    </row>
    <row r="298" spans="1:50" x14ac:dyDescent="0.2">
      <c r="A298" s="583" t="s">
        <v>1033</v>
      </c>
      <c r="B298" s="837"/>
      <c r="C298" s="837">
        <v>4000</v>
      </c>
      <c r="D298" s="331"/>
      <c r="E298" s="331"/>
      <c r="F298" s="331"/>
      <c r="G298" s="331"/>
      <c r="H298" s="331"/>
      <c r="I298" s="331"/>
      <c r="J298" s="331"/>
      <c r="K298" s="331"/>
      <c r="L298" s="331"/>
      <c r="M298" s="331"/>
      <c r="N298" s="331"/>
      <c r="O298" s="331"/>
      <c r="P298" s="331"/>
      <c r="Q298" s="331"/>
      <c r="R298" s="331"/>
      <c r="S298" s="331"/>
      <c r="T298" s="331"/>
      <c r="U298" s="331"/>
      <c r="V298" s="331"/>
      <c r="W298" s="331"/>
      <c r="X298" s="331"/>
      <c r="Y298" s="331"/>
      <c r="Z298" s="331"/>
      <c r="AA298" s="331"/>
      <c r="AB298" s="428"/>
      <c r="AC298" s="428"/>
      <c r="AD298" s="660"/>
      <c r="AE298" s="331"/>
      <c r="AF298" s="428"/>
      <c r="AG298" s="428"/>
      <c r="AH298" s="660"/>
      <c r="AI298" s="331"/>
      <c r="AJ298" s="660"/>
      <c r="AK298" s="331"/>
      <c r="AL298" s="330"/>
      <c r="AM298" s="330"/>
      <c r="AN298" s="330"/>
      <c r="AO298" s="331"/>
      <c r="AP298" s="331"/>
      <c r="AQ298" s="331"/>
      <c r="AR298" s="331"/>
      <c r="AS298" s="331"/>
      <c r="AT298" s="330"/>
      <c r="AU298" s="331"/>
      <c r="AV298" s="331"/>
      <c r="AW298" s="331"/>
      <c r="AX298" s="331">
        <f t="shared" si="1"/>
        <v>0</v>
      </c>
    </row>
    <row r="299" spans="1:50" x14ac:dyDescent="0.2">
      <c r="A299" s="331"/>
      <c r="B299" s="331"/>
      <c r="C299" s="331"/>
      <c r="D299" s="331"/>
      <c r="E299" s="331"/>
      <c r="F299" s="331"/>
      <c r="G299" s="331"/>
      <c r="H299" s="331"/>
      <c r="I299" s="331"/>
      <c r="J299" s="331"/>
      <c r="K299" s="331"/>
      <c r="L299" s="331"/>
      <c r="M299" s="331"/>
      <c r="N299" s="331"/>
      <c r="O299" s="331"/>
      <c r="P299" s="331"/>
      <c r="Q299" s="331"/>
      <c r="R299" s="331"/>
      <c r="S299" s="331"/>
      <c r="T299" s="331"/>
      <c r="U299" s="331"/>
      <c r="V299" s="331"/>
      <c r="W299" s="331"/>
      <c r="X299" s="331"/>
      <c r="Y299" s="331"/>
      <c r="Z299" s="331"/>
      <c r="AA299" s="331"/>
      <c r="AB299" s="428"/>
      <c r="AC299" s="428"/>
      <c r="AD299" s="660"/>
      <c r="AE299" s="331"/>
      <c r="AF299" s="428"/>
      <c r="AG299" s="428"/>
      <c r="AH299" s="660"/>
      <c r="AI299" s="331"/>
      <c r="AJ299" s="660"/>
      <c r="AK299" s="331"/>
      <c r="AL299" s="330"/>
      <c r="AM299" s="330"/>
      <c r="AN299" s="330"/>
      <c r="AO299" s="331"/>
      <c r="AP299" s="331"/>
      <c r="AQ299" s="331"/>
      <c r="AR299" s="331"/>
      <c r="AS299" s="331"/>
      <c r="AT299" s="330"/>
      <c r="AU299" s="331"/>
      <c r="AV299" s="331"/>
      <c r="AW299" s="331"/>
      <c r="AX299" s="331">
        <f t="shared" si="1"/>
        <v>0</v>
      </c>
    </row>
    <row r="300" spans="1:50" x14ac:dyDescent="0.2">
      <c r="A300" s="331"/>
      <c r="B300" s="331"/>
      <c r="C300" s="331"/>
      <c r="D300" s="331"/>
      <c r="E300" s="428"/>
      <c r="F300" s="428"/>
      <c r="G300" s="660"/>
      <c r="H300" s="428"/>
      <c r="I300" s="428"/>
      <c r="J300" s="428"/>
      <c r="K300" s="428"/>
      <c r="L300" s="660"/>
      <c r="M300" s="428"/>
      <c r="N300" s="428"/>
      <c r="O300" s="428"/>
      <c r="P300" s="660"/>
      <c r="Q300" s="428"/>
      <c r="R300" s="428"/>
      <c r="S300" s="428"/>
      <c r="T300" s="831"/>
      <c r="U300" s="331"/>
      <c r="V300" s="832"/>
      <c r="W300" s="331"/>
      <c r="X300" s="832"/>
      <c r="Y300" s="331"/>
      <c r="Z300" s="832"/>
      <c r="AA300" s="331"/>
      <c r="AB300" s="834"/>
      <c r="AC300" s="834"/>
      <c r="AD300" s="835"/>
      <c r="AE300" s="331"/>
      <c r="AF300" s="834"/>
      <c r="AG300" s="834"/>
      <c r="AH300" s="835"/>
      <c r="AI300" s="331"/>
      <c r="AJ300" s="660"/>
      <c r="AK300" s="331"/>
      <c r="AL300" s="330"/>
      <c r="AM300" s="330"/>
      <c r="AN300" s="330"/>
      <c r="AO300" s="331"/>
      <c r="AP300" s="331"/>
      <c r="AQ300" s="331"/>
      <c r="AR300" s="331"/>
      <c r="AS300" s="331"/>
      <c r="AT300" s="330"/>
      <c r="AU300" s="331"/>
      <c r="AV300" s="331"/>
      <c r="AW300" s="331"/>
      <c r="AX300" s="331"/>
    </row>
    <row r="301" spans="1:50" x14ac:dyDescent="0.2">
      <c r="A301" s="331"/>
      <c r="B301" s="331"/>
      <c r="C301" s="331"/>
      <c r="D301" s="331"/>
      <c r="E301" s="428"/>
      <c r="F301" s="428"/>
      <c r="G301" s="660"/>
      <c r="H301" s="428"/>
      <c r="I301" s="428"/>
      <c r="J301" s="428"/>
      <c r="K301" s="428"/>
      <c r="L301" s="660"/>
      <c r="M301" s="428"/>
      <c r="N301" s="428"/>
      <c r="O301" s="428"/>
      <c r="P301" s="660"/>
      <c r="Q301" s="428"/>
      <c r="R301" s="428"/>
      <c r="S301" s="428"/>
      <c r="T301" s="831"/>
      <c r="U301" s="331"/>
      <c r="V301" s="832"/>
      <c r="W301" s="331"/>
      <c r="X301" s="832"/>
      <c r="Y301" s="331"/>
      <c r="Z301" s="832"/>
      <c r="AA301" s="331"/>
      <c r="AB301" s="834"/>
      <c r="AC301" s="834"/>
      <c r="AD301" s="835"/>
      <c r="AE301" s="331"/>
      <c r="AF301" s="834"/>
      <c r="AG301" s="834"/>
      <c r="AH301" s="835"/>
      <c r="AI301" s="331"/>
      <c r="AJ301" s="660"/>
      <c r="AK301" s="331"/>
      <c r="AL301" s="330"/>
      <c r="AM301" s="330"/>
      <c r="AN301" s="330"/>
      <c r="AO301" s="331"/>
      <c r="AP301" s="331"/>
      <c r="AQ301" s="331"/>
      <c r="AR301" s="331"/>
      <c r="AS301" s="331"/>
      <c r="AT301" s="330"/>
      <c r="AU301" s="331"/>
      <c r="AV301" s="331"/>
      <c r="AW301" s="331"/>
      <c r="AX301" s="331"/>
    </row>
  </sheetData>
  <sheetProtection password="EF5C" sheet="1" objects="1" scenarios="1" selectLockedCells="1" selectUnlockedCells="1"/>
  <autoFilter ref="A1:AT299"/>
  <pageMargins left="0.27559055118110237" right="0.39370078740157483" top="0.39370078740157483" bottom="0.35433070866141736" header="0.23622047244094491" footer="0.15748031496062992"/>
  <pageSetup paperSize="9" scale="60" orientation="landscape" r:id="rId1"/>
  <headerFooter alignWithMargins="0">
    <oddHeader>&amp;A</oddHeader>
    <oddFooter>&amp;Z&amp;F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zoomScale="80" zoomScaleNormal="80" workbookViewId="0">
      <selection sqref="A1:XFD1048576"/>
    </sheetView>
  </sheetViews>
  <sheetFormatPr defaultRowHeight="12.75" x14ac:dyDescent="0.2"/>
  <cols>
    <col min="1" max="1" width="52.42578125" bestFit="1" customWidth="1"/>
    <col min="2" max="2" width="17.140625" bestFit="1" customWidth="1"/>
    <col min="3" max="16" width="13.85546875" style="29" customWidth="1"/>
    <col min="18" max="18" width="12.5703125" customWidth="1"/>
  </cols>
  <sheetData>
    <row r="1" spans="1:18" ht="57" customHeight="1" x14ac:dyDescent="0.2">
      <c r="A1" s="25" t="s">
        <v>180</v>
      </c>
      <c r="B1" s="15" t="s">
        <v>142</v>
      </c>
      <c r="C1" s="47" t="s">
        <v>213</v>
      </c>
      <c r="D1" s="28" t="s">
        <v>214</v>
      </c>
      <c r="E1" s="47" t="s">
        <v>215</v>
      </c>
      <c r="F1" s="47" t="s">
        <v>216</v>
      </c>
      <c r="G1" s="47" t="s">
        <v>217</v>
      </c>
      <c r="H1" s="47" t="s">
        <v>218</v>
      </c>
      <c r="I1" s="47" t="s">
        <v>219</v>
      </c>
      <c r="J1" s="47" t="s">
        <v>220</v>
      </c>
      <c r="K1" s="47" t="s">
        <v>221</v>
      </c>
      <c r="L1" s="47" t="s">
        <v>222</v>
      </c>
      <c r="M1" s="47" t="s">
        <v>226</v>
      </c>
      <c r="N1" s="47" t="s">
        <v>225</v>
      </c>
      <c r="O1" s="47" t="s">
        <v>227</v>
      </c>
      <c r="P1" s="47" t="s">
        <v>212</v>
      </c>
      <c r="R1" s="28" t="s">
        <v>228</v>
      </c>
    </row>
    <row r="2" spans="1:18" x14ac:dyDescent="0.2">
      <c r="A2" s="18" t="s">
        <v>44</v>
      </c>
      <c r="B2" s="19">
        <v>2400</v>
      </c>
      <c r="C2" s="29">
        <v>731536.93653383036</v>
      </c>
      <c r="D2" s="29">
        <v>453064.86648300011</v>
      </c>
      <c r="E2" s="29">
        <v>0</v>
      </c>
      <c r="F2" s="29">
        <v>0</v>
      </c>
      <c r="G2" s="29">
        <v>33418.463966942247</v>
      </c>
      <c r="H2" s="29">
        <v>29718.00000000008</v>
      </c>
      <c r="I2" s="29">
        <v>100000</v>
      </c>
      <c r="J2" s="29">
        <v>0</v>
      </c>
      <c r="K2" s="29">
        <v>28341.040000000001</v>
      </c>
      <c r="L2" s="29">
        <v>0</v>
      </c>
      <c r="M2" s="48">
        <v>21831.010514667913</v>
      </c>
      <c r="N2" s="29">
        <v>0</v>
      </c>
      <c r="O2" s="29">
        <v>-13427.276512082139</v>
      </c>
      <c r="P2" s="45">
        <f>SUM(C2:O2)</f>
        <v>1384483.0409863584</v>
      </c>
      <c r="R2" s="29">
        <f>P2-N2+O2</f>
        <v>1371055.7644742762</v>
      </c>
    </row>
    <row r="3" spans="1:18" x14ac:dyDescent="0.2">
      <c r="A3" s="18" t="s">
        <v>45</v>
      </c>
      <c r="B3" s="19">
        <v>2443</v>
      </c>
      <c r="C3" s="29">
        <v>655691.9698697878</v>
      </c>
      <c r="D3" s="29">
        <v>152247.25726000013</v>
      </c>
      <c r="E3" s="29">
        <v>1694.9465648854962</v>
      </c>
      <c r="F3" s="29">
        <v>0</v>
      </c>
      <c r="G3" s="29">
        <v>11297.54757062148</v>
      </c>
      <c r="H3" s="29">
        <v>8382.0000000000018</v>
      </c>
      <c r="I3" s="29">
        <v>100000</v>
      </c>
      <c r="J3" s="29">
        <v>0</v>
      </c>
      <c r="K3" s="29">
        <v>13813.28</v>
      </c>
      <c r="L3" s="29">
        <v>0</v>
      </c>
      <c r="M3" s="48">
        <v>19567.59470879933</v>
      </c>
      <c r="N3" s="29">
        <v>37799.51805728639</v>
      </c>
      <c r="O3" s="29">
        <v>0</v>
      </c>
      <c r="P3" s="45">
        <f t="shared" ref="P3:P66" si="0">SUM(C3:O3)</f>
        <v>1000494.1140313806</v>
      </c>
      <c r="R3" s="29">
        <f t="shared" ref="R3:R66" si="1">P3-N3+O3</f>
        <v>962694.59597409423</v>
      </c>
    </row>
    <row r="4" spans="1:18" x14ac:dyDescent="0.2">
      <c r="A4" s="18" t="s">
        <v>155</v>
      </c>
      <c r="B4" s="19">
        <v>2442</v>
      </c>
      <c r="C4" s="29">
        <v>729090.32470595802</v>
      </c>
      <c r="D4" s="29">
        <v>219015.42861583614</v>
      </c>
      <c r="E4" s="29">
        <v>1673.8508474576272</v>
      </c>
      <c r="F4" s="29">
        <v>0</v>
      </c>
      <c r="G4" s="29">
        <v>5449.7772549019601</v>
      </c>
      <c r="H4" s="29">
        <v>11873.254901960783</v>
      </c>
      <c r="I4" s="29">
        <v>100000</v>
      </c>
      <c r="J4" s="29">
        <v>0</v>
      </c>
      <c r="K4" s="29">
        <v>13813.28</v>
      </c>
      <c r="L4" s="29">
        <v>0</v>
      </c>
      <c r="M4" s="48">
        <v>21757.997101575376</v>
      </c>
      <c r="N4" s="29">
        <v>21417.331414230634</v>
      </c>
      <c r="O4" s="29">
        <v>0</v>
      </c>
      <c r="P4" s="45">
        <f t="shared" si="0"/>
        <v>1124091.2448419204</v>
      </c>
      <c r="R4" s="29">
        <f t="shared" si="1"/>
        <v>1102673.9134276898</v>
      </c>
    </row>
    <row r="5" spans="1:18" x14ac:dyDescent="0.2">
      <c r="A5" s="18" t="s">
        <v>47</v>
      </c>
      <c r="B5" s="19">
        <v>2629</v>
      </c>
      <c r="C5" s="29">
        <v>826954.79782085179</v>
      </c>
      <c r="D5" s="29">
        <v>312952.46799780033</v>
      </c>
      <c r="E5" s="29">
        <v>0</v>
      </c>
      <c r="F5" s="29">
        <v>0</v>
      </c>
      <c r="G5" s="29">
        <v>146406.30771535591</v>
      </c>
      <c r="H5" s="29">
        <v>25680.070381231671</v>
      </c>
      <c r="I5" s="29">
        <v>100000</v>
      </c>
      <c r="J5" s="29">
        <v>0</v>
      </c>
      <c r="K5" s="29">
        <v>26912.080000000002</v>
      </c>
      <c r="L5" s="29">
        <v>0</v>
      </c>
      <c r="M5" s="48">
        <v>24678.53362527677</v>
      </c>
      <c r="N5" s="29">
        <v>123997.6471206639</v>
      </c>
      <c r="O5" s="29">
        <v>0</v>
      </c>
      <c r="P5" s="45">
        <f t="shared" si="0"/>
        <v>1587581.9046611805</v>
      </c>
      <c r="R5" s="29">
        <f t="shared" si="1"/>
        <v>1463584.2575405166</v>
      </c>
    </row>
    <row r="6" spans="1:18" x14ac:dyDescent="0.2">
      <c r="A6" s="18" t="s">
        <v>48</v>
      </c>
      <c r="B6" s="19">
        <v>2509</v>
      </c>
      <c r="C6" s="29">
        <v>479535.91826297913</v>
      </c>
      <c r="D6" s="29">
        <v>112160.65552400003</v>
      </c>
      <c r="E6" s="29">
        <v>1877.2947976878611</v>
      </c>
      <c r="F6" s="29">
        <v>0</v>
      </c>
      <c r="G6" s="29">
        <v>25616.026496815313</v>
      </c>
      <c r="H6" s="29">
        <v>22097.999999999942</v>
      </c>
      <c r="I6" s="29">
        <v>100000</v>
      </c>
      <c r="J6" s="29">
        <v>0</v>
      </c>
      <c r="K6" s="29">
        <v>12979.72</v>
      </c>
      <c r="L6" s="29">
        <v>0</v>
      </c>
      <c r="M6" s="48">
        <v>14310.628966136825</v>
      </c>
      <c r="N6" s="29">
        <v>8893.4052347359248</v>
      </c>
      <c r="O6" s="29">
        <v>0</v>
      </c>
      <c r="P6" s="45">
        <f t="shared" si="0"/>
        <v>777471.64928235509</v>
      </c>
      <c r="R6" s="29">
        <f t="shared" si="1"/>
        <v>768578.24404761917</v>
      </c>
    </row>
    <row r="7" spans="1:18" x14ac:dyDescent="0.2">
      <c r="A7" s="18" t="s">
        <v>49</v>
      </c>
      <c r="B7" s="19">
        <v>2005</v>
      </c>
      <c r="C7" s="29">
        <v>746216.60750106443</v>
      </c>
      <c r="D7" s="29">
        <v>315007.79673562711</v>
      </c>
      <c r="E7" s="29">
        <v>0</v>
      </c>
      <c r="F7" s="29">
        <v>0</v>
      </c>
      <c r="G7" s="29">
        <v>18577.462857142858</v>
      </c>
      <c r="H7" s="29">
        <v>27432.000000000022</v>
      </c>
      <c r="I7" s="29">
        <v>100000</v>
      </c>
      <c r="J7" s="29">
        <v>0</v>
      </c>
      <c r="K7" s="29">
        <v>15004.08</v>
      </c>
      <c r="L7" s="29">
        <v>0</v>
      </c>
      <c r="M7" s="48">
        <v>22269.090993223119</v>
      </c>
      <c r="N7" s="29">
        <v>0</v>
      </c>
      <c r="O7" s="29">
        <v>-12129.928443489516</v>
      </c>
      <c r="P7" s="45">
        <f t="shared" si="0"/>
        <v>1232377.1096435678</v>
      </c>
      <c r="R7" s="29">
        <f t="shared" si="1"/>
        <v>1220247.1812000782</v>
      </c>
    </row>
    <row r="8" spans="1:18" x14ac:dyDescent="0.2">
      <c r="A8" s="18" t="s">
        <v>50</v>
      </c>
      <c r="B8" s="19">
        <v>2464</v>
      </c>
      <c r="C8" s="29">
        <v>418370.62256617058</v>
      </c>
      <c r="D8" s="29">
        <v>95575.140168352926</v>
      </c>
      <c r="E8" s="29">
        <v>1676.6094674556214</v>
      </c>
      <c r="F8" s="29">
        <v>0</v>
      </c>
      <c r="G8" s="29">
        <v>1131.1225531914888</v>
      </c>
      <c r="H8" s="29">
        <v>9906.0000000000018</v>
      </c>
      <c r="I8" s="29">
        <v>100000</v>
      </c>
      <c r="J8" s="29">
        <v>0</v>
      </c>
      <c r="K8" s="29">
        <v>12622.48</v>
      </c>
      <c r="L8" s="29">
        <v>0</v>
      </c>
      <c r="M8" s="48">
        <v>12485.293638823454</v>
      </c>
      <c r="N8" s="29">
        <v>61424.850011666305</v>
      </c>
      <c r="O8" s="29">
        <v>0</v>
      </c>
      <c r="P8" s="45">
        <f t="shared" si="0"/>
        <v>713192.11840566038</v>
      </c>
      <c r="R8" s="29">
        <f t="shared" si="1"/>
        <v>651767.26839399408</v>
      </c>
    </row>
    <row r="9" spans="1:18" x14ac:dyDescent="0.2">
      <c r="A9" s="18" t="s">
        <v>51</v>
      </c>
      <c r="B9" s="19">
        <v>2004</v>
      </c>
      <c r="C9" s="29">
        <v>616546.1806238303</v>
      </c>
      <c r="D9" s="29">
        <v>381334.03685999999</v>
      </c>
      <c r="E9" s="29">
        <v>0</v>
      </c>
      <c r="F9" s="29">
        <v>0</v>
      </c>
      <c r="G9" s="29">
        <v>3490.6241584158529</v>
      </c>
      <c r="H9" s="29">
        <v>18287.999999999996</v>
      </c>
      <c r="I9" s="29">
        <v>100000</v>
      </c>
      <c r="J9" s="29">
        <v>0</v>
      </c>
      <c r="K9" s="29">
        <v>15004.08</v>
      </c>
      <c r="L9" s="29">
        <v>0</v>
      </c>
      <c r="M9" s="48">
        <v>18399.380099318776</v>
      </c>
      <c r="N9" s="29">
        <v>83340.838782512001</v>
      </c>
      <c r="O9" s="29">
        <v>0</v>
      </c>
      <c r="P9" s="45">
        <f t="shared" si="0"/>
        <v>1236403.1405240768</v>
      </c>
      <c r="R9" s="29">
        <f t="shared" si="1"/>
        <v>1153062.3017415646</v>
      </c>
    </row>
    <row r="10" spans="1:18" x14ac:dyDescent="0.2">
      <c r="A10" s="18" t="s">
        <v>52</v>
      </c>
      <c r="B10" s="19">
        <v>2405</v>
      </c>
      <c r="C10" s="29">
        <v>464856.24729574507</v>
      </c>
      <c r="D10" s="29">
        <v>223322.59070999996</v>
      </c>
      <c r="E10" s="29">
        <v>1720.3825136612022</v>
      </c>
      <c r="F10" s="29">
        <v>0</v>
      </c>
      <c r="G10" s="29">
        <v>33435.698113207567</v>
      </c>
      <c r="H10" s="29">
        <v>23621.999999999985</v>
      </c>
      <c r="I10" s="29">
        <v>100000</v>
      </c>
      <c r="J10" s="29">
        <v>0</v>
      </c>
      <c r="K10" s="29">
        <v>13098.8</v>
      </c>
      <c r="L10" s="29">
        <v>0</v>
      </c>
      <c r="M10" s="48">
        <v>13872.548487581616</v>
      </c>
      <c r="N10" s="29">
        <v>0</v>
      </c>
      <c r="O10" s="29">
        <v>0</v>
      </c>
      <c r="P10" s="45">
        <f t="shared" si="0"/>
        <v>873928.26712019555</v>
      </c>
      <c r="R10" s="29">
        <f t="shared" si="1"/>
        <v>873928.26712019555</v>
      </c>
    </row>
    <row r="11" spans="1:18" x14ac:dyDescent="0.2">
      <c r="A11" s="18" t="s">
        <v>156</v>
      </c>
      <c r="B11" s="19">
        <v>3525</v>
      </c>
      <c r="C11" s="29">
        <v>494215.5892302132</v>
      </c>
      <c r="D11" s="29">
        <v>140660.36142200005</v>
      </c>
      <c r="E11" s="29">
        <v>0</v>
      </c>
      <c r="F11" s="29">
        <v>0</v>
      </c>
      <c r="G11" s="29">
        <v>15334.994418604649</v>
      </c>
      <c r="H11" s="29">
        <v>11430.000000000005</v>
      </c>
      <c r="I11" s="29">
        <v>100000</v>
      </c>
      <c r="J11" s="29">
        <v>0</v>
      </c>
      <c r="K11" s="29">
        <v>4919.6159999999982</v>
      </c>
      <c r="L11" s="29">
        <v>0</v>
      </c>
      <c r="M11" s="48">
        <v>14748.709444692033</v>
      </c>
      <c r="N11" s="29">
        <v>21504.424042599509</v>
      </c>
      <c r="O11" s="29">
        <v>0</v>
      </c>
      <c r="P11" s="45">
        <f t="shared" si="0"/>
        <v>802813.69455810951</v>
      </c>
      <c r="R11" s="29">
        <f t="shared" si="1"/>
        <v>781309.27051551</v>
      </c>
    </row>
    <row r="12" spans="1:18" x14ac:dyDescent="0.2">
      <c r="A12" s="18" t="s">
        <v>54</v>
      </c>
      <c r="B12" s="19">
        <v>5201</v>
      </c>
      <c r="C12" s="29">
        <v>922372.6591078731</v>
      </c>
      <c r="D12" s="29">
        <v>91273.589795999957</v>
      </c>
      <c r="E12" s="29">
        <v>0</v>
      </c>
      <c r="F12" s="29">
        <v>0</v>
      </c>
      <c r="G12" s="29">
        <v>0</v>
      </c>
      <c r="H12" s="29">
        <v>12192.000000000007</v>
      </c>
      <c r="I12" s="29">
        <v>100000</v>
      </c>
      <c r="J12" s="29">
        <v>0</v>
      </c>
      <c r="K12" s="29">
        <v>10812.464</v>
      </c>
      <c r="L12" s="29">
        <v>0</v>
      </c>
      <c r="M12" s="48">
        <v>27526.056735885628</v>
      </c>
      <c r="N12" s="29">
        <v>49869.481738592847</v>
      </c>
      <c r="O12" s="29">
        <v>0</v>
      </c>
      <c r="P12" s="45">
        <f t="shared" si="0"/>
        <v>1214046.2513783514</v>
      </c>
      <c r="R12" s="29">
        <f t="shared" si="1"/>
        <v>1164176.7696397584</v>
      </c>
    </row>
    <row r="13" spans="1:18" x14ac:dyDescent="0.2">
      <c r="A13" s="18" t="s">
        <v>157</v>
      </c>
      <c r="B13" s="19">
        <v>2007</v>
      </c>
      <c r="C13" s="29">
        <v>626332.62793531967</v>
      </c>
      <c r="D13" s="29">
        <v>305143.58389173116</v>
      </c>
      <c r="E13" s="29">
        <v>6953.9672131147545</v>
      </c>
      <c r="F13" s="29">
        <v>0</v>
      </c>
      <c r="G13" s="29">
        <v>33787.652830188643</v>
      </c>
      <c r="H13" s="29">
        <v>0</v>
      </c>
      <c r="I13" s="29">
        <v>100000</v>
      </c>
      <c r="J13" s="29">
        <v>0</v>
      </c>
      <c r="K13" s="29">
        <v>2961.9803199999988</v>
      </c>
      <c r="L13" s="29">
        <v>0</v>
      </c>
      <c r="M13" s="48">
        <v>18691.433751688914</v>
      </c>
      <c r="N13" s="29">
        <v>13928.421437207609</v>
      </c>
      <c r="O13" s="29">
        <v>0</v>
      </c>
      <c r="P13" s="45">
        <f t="shared" si="0"/>
        <v>1107799.6673792507</v>
      </c>
      <c r="R13" s="29">
        <f t="shared" si="1"/>
        <v>1093871.2459420431</v>
      </c>
    </row>
    <row r="14" spans="1:18" x14ac:dyDescent="0.2">
      <c r="A14" s="18" t="s">
        <v>56</v>
      </c>
      <c r="B14" s="19">
        <v>2433</v>
      </c>
      <c r="C14" s="29">
        <v>362098.55052510666</v>
      </c>
      <c r="D14" s="29">
        <v>122677.99195569931</v>
      </c>
      <c r="E14" s="29">
        <v>0</v>
      </c>
      <c r="F14" s="29">
        <v>0</v>
      </c>
      <c r="G14" s="29">
        <v>8329.7972413793104</v>
      </c>
      <c r="H14" s="29">
        <v>7822.6127167630084</v>
      </c>
      <c r="I14" s="29">
        <v>100000</v>
      </c>
      <c r="J14" s="29">
        <v>0</v>
      </c>
      <c r="K14" s="29">
        <v>7978.36</v>
      </c>
      <c r="L14" s="29">
        <v>0</v>
      </c>
      <c r="M14" s="48">
        <v>10805.985137695154</v>
      </c>
      <c r="N14" s="29">
        <v>76129.180257647298</v>
      </c>
      <c r="O14" s="29">
        <v>0</v>
      </c>
      <c r="P14" s="45">
        <f t="shared" si="0"/>
        <v>695842.47783429071</v>
      </c>
      <c r="R14" s="29">
        <f t="shared" si="1"/>
        <v>619713.29757664341</v>
      </c>
    </row>
    <row r="15" spans="1:18" x14ac:dyDescent="0.2">
      <c r="A15" s="18" t="s">
        <v>57</v>
      </c>
      <c r="B15" s="19">
        <v>2432</v>
      </c>
      <c r="C15" s="29">
        <v>491768.97740234085</v>
      </c>
      <c r="D15" s="29">
        <v>189950.2733956319</v>
      </c>
      <c r="E15" s="29">
        <v>1549.1023255813952</v>
      </c>
      <c r="F15" s="29">
        <v>0</v>
      </c>
      <c r="G15" s="29">
        <v>5490.7144769874485</v>
      </c>
      <c r="H15" s="29">
        <v>12816.903765690373</v>
      </c>
      <c r="I15" s="29">
        <v>100000</v>
      </c>
      <c r="J15" s="29">
        <v>0</v>
      </c>
      <c r="K15" s="29">
        <v>7978.36</v>
      </c>
      <c r="L15" s="29">
        <v>0</v>
      </c>
      <c r="M15" s="48">
        <v>14675.696031599498</v>
      </c>
      <c r="N15" s="29">
        <v>34725.943789041718</v>
      </c>
      <c r="O15" s="29">
        <v>0</v>
      </c>
      <c r="P15" s="45">
        <f t="shared" si="0"/>
        <v>858955.97118687327</v>
      </c>
      <c r="R15" s="29">
        <f t="shared" si="1"/>
        <v>824230.02739783155</v>
      </c>
    </row>
    <row r="16" spans="1:18" x14ac:dyDescent="0.2">
      <c r="A16" s="18" t="s">
        <v>58</v>
      </c>
      <c r="B16" s="19">
        <v>2446</v>
      </c>
      <c r="C16" s="29">
        <v>418370.62256617058</v>
      </c>
      <c r="D16" s="29">
        <v>113651.94458172769</v>
      </c>
      <c r="E16" s="29">
        <v>5120.7289156626503</v>
      </c>
      <c r="F16" s="29">
        <v>0</v>
      </c>
      <c r="G16" s="29">
        <v>17241.976216216201</v>
      </c>
      <c r="H16" s="29">
        <v>6095.9999999999936</v>
      </c>
      <c r="I16" s="29">
        <v>100000</v>
      </c>
      <c r="J16" s="29">
        <v>0</v>
      </c>
      <c r="K16" s="29">
        <v>8811.92</v>
      </c>
      <c r="L16" s="29">
        <v>0</v>
      </c>
      <c r="M16" s="48">
        <v>12485.293638823454</v>
      </c>
      <c r="N16" s="29">
        <v>14417.980572646484</v>
      </c>
      <c r="O16" s="29">
        <v>0</v>
      </c>
      <c r="P16" s="45">
        <f t="shared" si="0"/>
        <v>696196.46649124706</v>
      </c>
      <c r="R16" s="29">
        <f t="shared" si="1"/>
        <v>681778.48591860058</v>
      </c>
    </row>
    <row r="17" spans="1:18" x14ac:dyDescent="0.2">
      <c r="A17" s="18" t="s">
        <v>59</v>
      </c>
      <c r="B17" s="19">
        <v>2447</v>
      </c>
      <c r="C17" s="29">
        <v>513788.48385319189</v>
      </c>
      <c r="D17" s="29">
        <v>164227.30934000004</v>
      </c>
      <c r="E17" s="29">
        <v>0</v>
      </c>
      <c r="F17" s="29">
        <v>0</v>
      </c>
      <c r="G17" s="29">
        <v>2798.0400000000022</v>
      </c>
      <c r="H17" s="29">
        <v>7619.9999999999973</v>
      </c>
      <c r="I17" s="29">
        <v>100000</v>
      </c>
      <c r="J17" s="29">
        <v>0</v>
      </c>
      <c r="K17" s="29">
        <v>8811.92</v>
      </c>
      <c r="L17" s="29">
        <v>0</v>
      </c>
      <c r="M17" s="48">
        <v>15332.816749432312</v>
      </c>
      <c r="N17" s="29">
        <v>21795.42945544736</v>
      </c>
      <c r="O17" s="29">
        <v>0</v>
      </c>
      <c r="P17" s="45">
        <f t="shared" si="0"/>
        <v>834373.99939807178</v>
      </c>
      <c r="R17" s="29">
        <f t="shared" si="1"/>
        <v>812578.56994262442</v>
      </c>
    </row>
    <row r="18" spans="1:18" x14ac:dyDescent="0.2">
      <c r="A18" s="18" t="s">
        <v>60</v>
      </c>
      <c r="B18" s="19">
        <v>2512</v>
      </c>
      <c r="C18" s="29">
        <v>496662.20105808554</v>
      </c>
      <c r="D18" s="29">
        <v>44531.314534999998</v>
      </c>
      <c r="E18" s="29">
        <v>0</v>
      </c>
      <c r="F18" s="29">
        <v>0</v>
      </c>
      <c r="G18" s="29">
        <v>24077.161156069273</v>
      </c>
      <c r="H18" s="29">
        <v>14478.000000000002</v>
      </c>
      <c r="I18" s="29">
        <v>100000</v>
      </c>
      <c r="J18" s="29">
        <v>0</v>
      </c>
      <c r="K18" s="29">
        <v>15004.08</v>
      </c>
      <c r="L18" s="29">
        <v>0</v>
      </c>
      <c r="M18" s="48">
        <v>14821.722857784569</v>
      </c>
      <c r="N18" s="29">
        <v>11873.925260056276</v>
      </c>
      <c r="O18" s="29">
        <v>0</v>
      </c>
      <c r="P18" s="45">
        <f t="shared" si="0"/>
        <v>721448.40486699564</v>
      </c>
      <c r="R18" s="29">
        <f t="shared" si="1"/>
        <v>709574.47960693936</v>
      </c>
    </row>
    <row r="19" spans="1:18" x14ac:dyDescent="0.2">
      <c r="A19" s="18" t="s">
        <v>61</v>
      </c>
      <c r="B19" s="19">
        <v>2456</v>
      </c>
      <c r="C19" s="29">
        <v>435496.90536127693</v>
      </c>
      <c r="D19" s="29">
        <v>23275.523461762714</v>
      </c>
      <c r="E19" s="29">
        <v>1647.7430167597765</v>
      </c>
      <c r="F19" s="29">
        <v>0</v>
      </c>
      <c r="G19" s="29">
        <v>39393.873898305028</v>
      </c>
      <c r="H19" s="29">
        <v>5333.9999999999982</v>
      </c>
      <c r="I19" s="29">
        <v>100000</v>
      </c>
      <c r="J19" s="29">
        <v>0</v>
      </c>
      <c r="K19" s="29">
        <v>8931</v>
      </c>
      <c r="L19" s="29">
        <v>0</v>
      </c>
      <c r="M19" s="48">
        <v>12996.387530471198</v>
      </c>
      <c r="N19" s="29">
        <v>0</v>
      </c>
      <c r="O19" s="29">
        <v>0</v>
      </c>
      <c r="P19" s="45">
        <f t="shared" si="0"/>
        <v>627075.43326857558</v>
      </c>
      <c r="R19" s="29">
        <f t="shared" si="1"/>
        <v>627075.43326857558</v>
      </c>
    </row>
    <row r="20" spans="1:18" x14ac:dyDescent="0.2">
      <c r="A20" s="18" t="s">
        <v>62</v>
      </c>
      <c r="B20" s="19">
        <v>2449</v>
      </c>
      <c r="C20" s="29">
        <v>633672.46341893671</v>
      </c>
      <c r="D20" s="29">
        <v>131136.49866500002</v>
      </c>
      <c r="E20" s="29">
        <v>0</v>
      </c>
      <c r="F20" s="29">
        <v>0</v>
      </c>
      <c r="G20" s="29">
        <v>12864.361420118346</v>
      </c>
      <c r="H20" s="29">
        <v>5333.9999999999945</v>
      </c>
      <c r="I20" s="29">
        <v>100000</v>
      </c>
      <c r="J20" s="29">
        <v>0</v>
      </c>
      <c r="K20" s="29">
        <v>11550.76</v>
      </c>
      <c r="L20" s="29">
        <v>0</v>
      </c>
      <c r="M20" s="48">
        <v>18910.473990966519</v>
      </c>
      <c r="N20" s="29">
        <v>14269.51572836272</v>
      </c>
      <c r="O20" s="29">
        <v>0</v>
      </c>
      <c r="P20" s="45">
        <f t="shared" si="0"/>
        <v>927738.07322338433</v>
      </c>
      <c r="R20" s="29">
        <f t="shared" si="1"/>
        <v>913468.55749502161</v>
      </c>
    </row>
    <row r="21" spans="1:18" x14ac:dyDescent="0.2">
      <c r="A21" s="18" t="s">
        <v>63</v>
      </c>
      <c r="B21" s="19">
        <v>2448</v>
      </c>
      <c r="C21" s="29">
        <v>773129.33760766021</v>
      </c>
      <c r="D21" s="29">
        <v>183509.26219999997</v>
      </c>
      <c r="E21" s="29">
        <v>0</v>
      </c>
      <c r="F21" s="29">
        <v>0</v>
      </c>
      <c r="G21" s="29">
        <v>2806.9226666666655</v>
      </c>
      <c r="H21" s="29">
        <v>7620.0000000000091</v>
      </c>
      <c r="I21" s="29">
        <v>100000</v>
      </c>
      <c r="J21" s="29">
        <v>0</v>
      </c>
      <c r="K21" s="29">
        <v>17028.439999999999</v>
      </c>
      <c r="L21" s="29">
        <v>0</v>
      </c>
      <c r="M21" s="48">
        <v>23072.238537241003</v>
      </c>
      <c r="N21" s="29">
        <v>0</v>
      </c>
      <c r="O21" s="29">
        <v>-439.4874996455419</v>
      </c>
      <c r="P21" s="45">
        <f t="shared" si="0"/>
        <v>1106726.7135119224</v>
      </c>
      <c r="R21" s="29">
        <f t="shared" si="1"/>
        <v>1106287.226012277</v>
      </c>
    </row>
    <row r="22" spans="1:18" x14ac:dyDescent="0.2">
      <c r="A22" s="18" t="s">
        <v>193</v>
      </c>
      <c r="B22" s="19">
        <v>2467</v>
      </c>
      <c r="C22" s="29">
        <v>853867.52792744758</v>
      </c>
      <c r="D22" s="29">
        <v>194379.61832097554</v>
      </c>
      <c r="E22" s="29">
        <v>1705.8790560471975</v>
      </c>
      <c r="F22" s="29">
        <v>0</v>
      </c>
      <c r="G22" s="29">
        <v>4505.2639446366811</v>
      </c>
      <c r="H22" s="29">
        <v>6096.0000000000091</v>
      </c>
      <c r="I22" s="29">
        <v>100000</v>
      </c>
      <c r="J22" s="29">
        <v>0</v>
      </c>
      <c r="K22" s="29">
        <v>12741.56</v>
      </c>
      <c r="L22" s="29">
        <v>0</v>
      </c>
      <c r="M22" s="48">
        <v>25481.68116929465</v>
      </c>
      <c r="N22" s="29">
        <v>113762.38713260554</v>
      </c>
      <c r="O22" s="29">
        <v>0</v>
      </c>
      <c r="P22" s="45">
        <f t="shared" si="0"/>
        <v>1312539.9175510076</v>
      </c>
      <c r="R22" s="29">
        <f t="shared" si="1"/>
        <v>1198777.530418402</v>
      </c>
    </row>
    <row r="23" spans="1:18" x14ac:dyDescent="0.2">
      <c r="A23" s="18" t="s">
        <v>65</v>
      </c>
      <c r="B23" s="19">
        <v>2455</v>
      </c>
      <c r="C23" s="29">
        <v>880780.25803404325</v>
      </c>
      <c r="D23" s="29">
        <v>87116.882666740945</v>
      </c>
      <c r="E23" s="29">
        <v>0</v>
      </c>
      <c r="F23" s="29">
        <v>0</v>
      </c>
      <c r="G23" s="29">
        <v>20985.3</v>
      </c>
      <c r="H23" s="29">
        <v>3047.9999999999968</v>
      </c>
      <c r="I23" s="29">
        <v>100000</v>
      </c>
      <c r="J23" s="29">
        <v>0</v>
      </c>
      <c r="K23" s="29">
        <v>24768.639999999999</v>
      </c>
      <c r="L23" s="29">
        <v>0</v>
      </c>
      <c r="M23" s="48">
        <v>26284.828713312534</v>
      </c>
      <c r="N23" s="29">
        <v>33027.066195058171</v>
      </c>
      <c r="O23" s="29">
        <v>0</v>
      </c>
      <c r="P23" s="45">
        <f t="shared" si="0"/>
        <v>1176010.9756091549</v>
      </c>
      <c r="R23" s="29">
        <f t="shared" si="1"/>
        <v>1142983.9094140967</v>
      </c>
    </row>
    <row r="24" spans="1:18" x14ac:dyDescent="0.2">
      <c r="A24" s="18" t="s">
        <v>66</v>
      </c>
      <c r="B24" s="19">
        <v>5203</v>
      </c>
      <c r="C24" s="29">
        <v>1179266.901034469</v>
      </c>
      <c r="D24" s="29">
        <v>139861.92811738906</v>
      </c>
      <c r="E24" s="29">
        <v>0</v>
      </c>
      <c r="F24" s="29">
        <v>0</v>
      </c>
      <c r="G24" s="29">
        <v>6528.7600000000066</v>
      </c>
      <c r="H24" s="29">
        <v>12192.000000000013</v>
      </c>
      <c r="I24" s="29">
        <v>100000</v>
      </c>
      <c r="J24" s="29">
        <v>0</v>
      </c>
      <c r="K24" s="29">
        <v>4418.5439999999981</v>
      </c>
      <c r="L24" s="29">
        <v>0</v>
      </c>
      <c r="M24" s="48">
        <v>35192.465110601785</v>
      </c>
      <c r="N24" s="29">
        <v>49560.022722092457</v>
      </c>
      <c r="O24" s="29">
        <v>0</v>
      </c>
      <c r="P24" s="45">
        <f t="shared" si="0"/>
        <v>1527020.6209845524</v>
      </c>
      <c r="R24" s="29">
        <f t="shared" si="1"/>
        <v>1477460.59826246</v>
      </c>
    </row>
    <row r="25" spans="1:18" x14ac:dyDescent="0.2">
      <c r="A25" s="18" t="s">
        <v>67</v>
      </c>
      <c r="B25" s="19">
        <v>2451</v>
      </c>
      <c r="C25" s="29">
        <v>1100975.322542554</v>
      </c>
      <c r="D25" s="29">
        <v>178906.05342321444</v>
      </c>
      <c r="E25" s="29">
        <v>0</v>
      </c>
      <c r="F25" s="29">
        <v>0</v>
      </c>
      <c r="G25" s="29">
        <v>4453.1140583554306</v>
      </c>
      <c r="H25" s="29">
        <v>18287.999999999989</v>
      </c>
      <c r="I25" s="29">
        <v>100000</v>
      </c>
      <c r="J25" s="29">
        <v>0</v>
      </c>
      <c r="K25" s="29">
        <v>22982.44</v>
      </c>
      <c r="L25" s="29">
        <v>0</v>
      </c>
      <c r="M25" s="48">
        <v>32856.035891640669</v>
      </c>
      <c r="N25" s="29">
        <v>43641.831048056716</v>
      </c>
      <c r="O25" s="29">
        <v>0</v>
      </c>
      <c r="P25" s="45">
        <f t="shared" si="0"/>
        <v>1502102.7969638212</v>
      </c>
      <c r="R25" s="29">
        <f t="shared" si="1"/>
        <v>1458460.9659157644</v>
      </c>
    </row>
    <row r="26" spans="1:18" x14ac:dyDescent="0.2">
      <c r="A26" s="18" t="s">
        <v>68</v>
      </c>
      <c r="B26" s="19">
        <v>2409</v>
      </c>
      <c r="C26" s="29">
        <v>1345636.5053297884</v>
      </c>
      <c r="D26" s="29">
        <v>336850.72789954126</v>
      </c>
      <c r="E26" s="29">
        <v>0</v>
      </c>
      <c r="F26" s="29">
        <v>0</v>
      </c>
      <c r="G26" s="29">
        <v>195882.47679324885</v>
      </c>
      <c r="H26" s="29">
        <v>39623.999999999985</v>
      </c>
      <c r="I26" s="29">
        <v>100000</v>
      </c>
      <c r="J26" s="29">
        <v>0</v>
      </c>
      <c r="K26" s="29">
        <v>31675.279999999999</v>
      </c>
      <c r="L26" s="29">
        <v>0</v>
      </c>
      <c r="M26" s="48">
        <v>40157.377200894152</v>
      </c>
      <c r="N26" s="29">
        <v>202380.06831019605</v>
      </c>
      <c r="O26" s="29">
        <v>0</v>
      </c>
      <c r="P26" s="45">
        <f t="shared" si="0"/>
        <v>2292206.4355336688</v>
      </c>
      <c r="R26" s="29">
        <f t="shared" si="1"/>
        <v>2089826.3672234728</v>
      </c>
    </row>
    <row r="27" spans="1:18" x14ac:dyDescent="0.2">
      <c r="A27" s="18" t="s">
        <v>159</v>
      </c>
      <c r="B27" s="19">
        <v>3158</v>
      </c>
      <c r="C27" s="29">
        <v>293593.41934468108</v>
      </c>
      <c r="D27" s="29">
        <v>80361.094039999967</v>
      </c>
      <c r="E27" s="29">
        <v>0</v>
      </c>
      <c r="F27" s="29">
        <v>0</v>
      </c>
      <c r="G27" s="29">
        <v>92335.319999999992</v>
      </c>
      <c r="H27" s="29">
        <v>3047.9999999999968</v>
      </c>
      <c r="I27" s="29">
        <v>100000</v>
      </c>
      <c r="J27" s="29">
        <v>0</v>
      </c>
      <c r="K27" s="29">
        <v>1399.5654399999994</v>
      </c>
      <c r="L27" s="29">
        <v>0</v>
      </c>
      <c r="M27" s="48">
        <v>8761.609571104178</v>
      </c>
      <c r="N27" s="29">
        <v>2328.4466576038976</v>
      </c>
      <c r="O27" s="29">
        <v>0</v>
      </c>
      <c r="P27" s="45">
        <f t="shared" si="0"/>
        <v>581827.45505338907</v>
      </c>
      <c r="R27" s="29">
        <f t="shared" si="1"/>
        <v>579499.00839578523</v>
      </c>
    </row>
    <row r="28" spans="1:18" x14ac:dyDescent="0.2">
      <c r="A28" s="18" t="s">
        <v>69</v>
      </c>
      <c r="B28" s="19">
        <v>2619</v>
      </c>
      <c r="C28" s="29">
        <v>447729.96450063866</v>
      </c>
      <c r="D28" s="29">
        <v>303104.19180705491</v>
      </c>
      <c r="E28" s="29">
        <v>1675.3093922651933</v>
      </c>
      <c r="F28" s="29">
        <v>0</v>
      </c>
      <c r="G28" s="29">
        <v>13386.701176470588</v>
      </c>
      <c r="H28" s="29">
        <v>10668.000000000005</v>
      </c>
      <c r="I28" s="29">
        <v>100000</v>
      </c>
      <c r="J28" s="29">
        <v>0</v>
      </c>
      <c r="K28" s="29">
        <v>27150.240000000002</v>
      </c>
      <c r="L28" s="29">
        <v>0</v>
      </c>
      <c r="M28" s="48">
        <v>13361.454595933872</v>
      </c>
      <c r="N28" s="29">
        <v>0</v>
      </c>
      <c r="O28" s="29">
        <v>-15446.694859916404</v>
      </c>
      <c r="P28" s="45">
        <f t="shared" si="0"/>
        <v>901629.16661244677</v>
      </c>
      <c r="R28" s="29">
        <f t="shared" si="1"/>
        <v>886182.47175253031</v>
      </c>
    </row>
    <row r="29" spans="1:18" x14ac:dyDescent="0.2">
      <c r="A29" s="18" t="s">
        <v>70</v>
      </c>
      <c r="B29" s="19">
        <v>2518</v>
      </c>
      <c r="C29" s="29">
        <v>687497.92363212828</v>
      </c>
      <c r="D29" s="29">
        <v>272245.26748828578</v>
      </c>
      <c r="E29" s="29">
        <v>0</v>
      </c>
      <c r="F29" s="29">
        <v>0</v>
      </c>
      <c r="G29" s="29">
        <v>111327.32601769913</v>
      </c>
      <c r="H29" s="29">
        <v>46482.000000000029</v>
      </c>
      <c r="I29" s="29">
        <v>100000</v>
      </c>
      <c r="J29" s="29">
        <v>0</v>
      </c>
      <c r="K29" s="29">
        <v>11012.903200000001</v>
      </c>
      <c r="L29" s="29">
        <v>0</v>
      </c>
      <c r="M29" s="48">
        <v>20516.769079002283</v>
      </c>
      <c r="N29" s="29">
        <v>6263.2574827237986</v>
      </c>
      <c r="O29" s="29">
        <v>0</v>
      </c>
      <c r="P29" s="45">
        <f t="shared" si="0"/>
        <v>1255345.4468998394</v>
      </c>
      <c r="R29" s="29">
        <f t="shared" si="1"/>
        <v>1249082.1894171156</v>
      </c>
    </row>
    <row r="30" spans="1:18" x14ac:dyDescent="0.2">
      <c r="A30" s="18" t="s">
        <v>71</v>
      </c>
      <c r="B30" s="19">
        <v>2457</v>
      </c>
      <c r="C30" s="29">
        <v>861207.36341106449</v>
      </c>
      <c r="D30" s="29">
        <v>156410.09708342861</v>
      </c>
      <c r="E30" s="29">
        <v>1700.4781341107871</v>
      </c>
      <c r="F30" s="29">
        <v>0</v>
      </c>
      <c r="G30" s="29">
        <v>24249.680000000008</v>
      </c>
      <c r="H30" s="29">
        <v>12953.999999999989</v>
      </c>
      <c r="I30" s="29">
        <v>100000</v>
      </c>
      <c r="J30" s="29">
        <v>0</v>
      </c>
      <c r="K30" s="29">
        <v>19817.2</v>
      </c>
      <c r="L30" s="29">
        <v>0</v>
      </c>
      <c r="M30" s="48">
        <v>25700.721408572255</v>
      </c>
      <c r="N30" s="29">
        <v>0</v>
      </c>
      <c r="O30" s="29">
        <v>0</v>
      </c>
      <c r="P30" s="45">
        <f t="shared" si="0"/>
        <v>1202039.5400371761</v>
      </c>
      <c r="R30" s="29">
        <f t="shared" si="1"/>
        <v>1202039.5400371761</v>
      </c>
    </row>
    <row r="31" spans="1:18" x14ac:dyDescent="0.2">
      <c r="A31" s="18" t="s">
        <v>160</v>
      </c>
      <c r="B31" s="220">
        <v>2010</v>
      </c>
      <c r="C31" s="29">
        <v>430603.68170553225</v>
      </c>
      <c r="D31" s="29">
        <v>192490.19174628577</v>
      </c>
      <c r="E31" s="29">
        <v>0</v>
      </c>
      <c r="F31" s="29">
        <v>0</v>
      </c>
      <c r="G31" s="29">
        <v>24735.184657534195</v>
      </c>
      <c r="H31" s="29">
        <v>13715.999999999965</v>
      </c>
      <c r="I31" s="29">
        <v>100000</v>
      </c>
      <c r="J31" s="29">
        <v>0</v>
      </c>
      <c r="K31" s="29">
        <v>3429.503999999999</v>
      </c>
      <c r="L31" s="29">
        <v>0</v>
      </c>
      <c r="M31" s="48">
        <v>12850.360704286128</v>
      </c>
      <c r="N31" s="29">
        <v>78115.790237082751</v>
      </c>
      <c r="O31" s="29">
        <v>0</v>
      </c>
      <c r="P31" s="45">
        <f t="shared" si="0"/>
        <v>855940.7130507211</v>
      </c>
      <c r="R31" s="29">
        <f t="shared" si="1"/>
        <v>777824.92281363835</v>
      </c>
    </row>
    <row r="32" spans="1:18" x14ac:dyDescent="0.2">
      <c r="A32" s="18" t="s">
        <v>73</v>
      </c>
      <c r="B32" s="19">
        <v>2002</v>
      </c>
      <c r="C32" s="29">
        <v>1037363.4150178732</v>
      </c>
      <c r="D32" s="29">
        <v>61605.078032720368</v>
      </c>
      <c r="E32" s="29">
        <v>0</v>
      </c>
      <c r="F32" s="29">
        <v>0</v>
      </c>
      <c r="G32" s="29">
        <v>12930.451880108991</v>
      </c>
      <c r="H32" s="29">
        <v>14478.000000000005</v>
      </c>
      <c r="I32" s="29">
        <v>100000</v>
      </c>
      <c r="J32" s="29">
        <v>0</v>
      </c>
      <c r="K32" s="29">
        <v>44059.6</v>
      </c>
      <c r="L32" s="29">
        <v>0</v>
      </c>
      <c r="M32" s="48">
        <v>30957.687151234764</v>
      </c>
      <c r="N32" s="29">
        <v>36740.553178047528</v>
      </c>
      <c r="O32" s="29">
        <v>0</v>
      </c>
      <c r="P32" s="45">
        <f t="shared" si="0"/>
        <v>1338134.7852599849</v>
      </c>
      <c r="R32" s="29">
        <f t="shared" si="1"/>
        <v>1301394.2320819374</v>
      </c>
    </row>
    <row r="33" spans="1:18" x14ac:dyDescent="0.2">
      <c r="A33" s="18" t="s">
        <v>74</v>
      </c>
      <c r="B33" s="19">
        <v>3544</v>
      </c>
      <c r="C33" s="29">
        <v>1311383.9397395756</v>
      </c>
      <c r="D33" s="29">
        <v>488012.6498479998</v>
      </c>
      <c r="E33" s="29">
        <v>0</v>
      </c>
      <c r="F33" s="29">
        <v>0</v>
      </c>
      <c r="G33" s="29">
        <v>239455.79294117622</v>
      </c>
      <c r="H33" s="29">
        <v>44196.000000000167</v>
      </c>
      <c r="I33" s="29">
        <v>100000</v>
      </c>
      <c r="J33" s="29">
        <v>0</v>
      </c>
      <c r="K33" s="29">
        <v>70495.360000000001</v>
      </c>
      <c r="L33" s="29">
        <v>122519.2224554377</v>
      </c>
      <c r="M33" s="48">
        <v>39135.18941759866</v>
      </c>
      <c r="N33" s="29">
        <v>130054.63213118399</v>
      </c>
      <c r="O33" s="29">
        <v>0</v>
      </c>
      <c r="P33" s="45">
        <f t="shared" si="0"/>
        <v>2545252.7865329725</v>
      </c>
      <c r="R33" s="29">
        <f t="shared" si="1"/>
        <v>2415198.1544017885</v>
      </c>
    </row>
    <row r="34" spans="1:18" x14ac:dyDescent="0.2">
      <c r="A34" s="18" t="s">
        <v>161</v>
      </c>
      <c r="B34" s="19">
        <v>2006</v>
      </c>
      <c r="C34" s="29">
        <v>565167.33223851107</v>
      </c>
      <c r="D34" s="29">
        <v>20001.137800368422</v>
      </c>
      <c r="E34" s="29">
        <v>6959.4000000000005</v>
      </c>
      <c r="F34" s="29">
        <v>0</v>
      </c>
      <c r="G34" s="29">
        <v>9266.6270967741839</v>
      </c>
      <c r="H34" s="29">
        <v>13715.999999999998</v>
      </c>
      <c r="I34" s="29">
        <v>100000</v>
      </c>
      <c r="J34" s="29">
        <v>0</v>
      </c>
      <c r="K34" s="29">
        <v>27864.720000000001</v>
      </c>
      <c r="L34" s="29">
        <v>0</v>
      </c>
      <c r="M34" s="48">
        <v>16866.098424375545</v>
      </c>
      <c r="N34" s="29">
        <v>39102.175729414099</v>
      </c>
      <c r="O34" s="29">
        <v>0</v>
      </c>
      <c r="P34" s="45">
        <f t="shared" si="0"/>
        <v>798943.49128944322</v>
      </c>
      <c r="R34" s="29">
        <f t="shared" si="1"/>
        <v>759841.31556002912</v>
      </c>
    </row>
    <row r="35" spans="1:18" x14ac:dyDescent="0.2">
      <c r="A35" s="18" t="s">
        <v>76</v>
      </c>
      <c r="B35" s="19">
        <v>2434</v>
      </c>
      <c r="C35" s="29">
        <v>875887.03437829856</v>
      </c>
      <c r="D35" s="29">
        <v>390444.86833859677</v>
      </c>
      <c r="E35" s="29">
        <v>14547.286103542234</v>
      </c>
      <c r="F35" s="29">
        <v>0</v>
      </c>
      <c r="G35" s="29">
        <v>6547.0478431372549</v>
      </c>
      <c r="H35" s="29">
        <v>35776.524590164059</v>
      </c>
      <c r="I35" s="29">
        <v>100000</v>
      </c>
      <c r="J35" s="29">
        <v>0</v>
      </c>
      <c r="K35" s="29">
        <v>57205.002399999998</v>
      </c>
      <c r="L35" s="29">
        <v>131947.39766900512</v>
      </c>
      <c r="M35" s="48">
        <v>26138.801887127465</v>
      </c>
      <c r="N35" s="29">
        <v>45379.489349385025</v>
      </c>
      <c r="O35" s="29">
        <v>0</v>
      </c>
      <c r="P35" s="45">
        <f t="shared" si="0"/>
        <v>1683873.4525592567</v>
      </c>
      <c r="R35" s="29">
        <f t="shared" si="1"/>
        <v>1638493.9632098717</v>
      </c>
    </row>
    <row r="36" spans="1:18" x14ac:dyDescent="0.2">
      <c r="A36" s="18" t="s">
        <v>77</v>
      </c>
      <c r="B36" s="19">
        <v>2522</v>
      </c>
      <c r="C36" s="29">
        <v>995771.01394404343</v>
      </c>
      <c r="D36" s="29">
        <v>52815.385155093594</v>
      </c>
      <c r="E36" s="29">
        <v>1665.1827160493826</v>
      </c>
      <c r="F36" s="29">
        <v>0</v>
      </c>
      <c r="G36" s="29">
        <v>12033.453487031684</v>
      </c>
      <c r="H36" s="29">
        <v>26670</v>
      </c>
      <c r="I36" s="29">
        <v>100000</v>
      </c>
      <c r="J36" s="29">
        <v>0</v>
      </c>
      <c r="K36" s="29">
        <v>17147.52</v>
      </c>
      <c r="L36" s="29">
        <v>0</v>
      </c>
      <c r="M36" s="48">
        <v>29716.459128661671</v>
      </c>
      <c r="N36" s="29">
        <v>0</v>
      </c>
      <c r="O36" s="29">
        <v>-3932.4424358296919</v>
      </c>
      <c r="P36" s="45">
        <f t="shared" si="0"/>
        <v>1231886.5719950502</v>
      </c>
      <c r="R36" s="29">
        <f t="shared" si="1"/>
        <v>1227954.1295592205</v>
      </c>
    </row>
    <row r="37" spans="1:18" x14ac:dyDescent="0.2">
      <c r="A37" s="18" t="s">
        <v>78</v>
      </c>
      <c r="B37" s="19">
        <v>2436</v>
      </c>
      <c r="C37" s="29">
        <v>746216.60750106443</v>
      </c>
      <c r="D37" s="29">
        <v>91223.068962459598</v>
      </c>
      <c r="E37" s="29">
        <v>3324.9013157894733</v>
      </c>
      <c r="F37" s="29">
        <v>0</v>
      </c>
      <c r="G37" s="29">
        <v>0</v>
      </c>
      <c r="H37" s="29">
        <v>11245.645161290311</v>
      </c>
      <c r="I37" s="29">
        <v>100000</v>
      </c>
      <c r="J37" s="29">
        <v>0</v>
      </c>
      <c r="K37" s="29">
        <v>13575.12</v>
      </c>
      <c r="L37" s="29">
        <v>0</v>
      </c>
      <c r="M37" s="48">
        <v>22269.090993223119</v>
      </c>
      <c r="N37" s="29">
        <v>74130.29355823074</v>
      </c>
      <c r="O37" s="29">
        <v>0</v>
      </c>
      <c r="P37" s="45">
        <f t="shared" si="0"/>
        <v>1061984.7274920577</v>
      </c>
      <c r="R37" s="29">
        <f t="shared" si="1"/>
        <v>987854.43393382698</v>
      </c>
    </row>
    <row r="38" spans="1:18" x14ac:dyDescent="0.2">
      <c r="A38" s="18" t="s">
        <v>79</v>
      </c>
      <c r="B38" s="19">
        <v>2452</v>
      </c>
      <c r="C38" s="29">
        <v>494215.5892302132</v>
      </c>
      <c r="D38" s="29">
        <v>136325.08420200006</v>
      </c>
      <c r="E38" s="29">
        <v>0</v>
      </c>
      <c r="F38" s="29">
        <v>0</v>
      </c>
      <c r="G38" s="29">
        <v>3286.0702325581433</v>
      </c>
      <c r="H38" s="29">
        <v>8382.0000000000073</v>
      </c>
      <c r="I38" s="29">
        <v>100000</v>
      </c>
      <c r="J38" s="29">
        <v>0</v>
      </c>
      <c r="K38" s="29">
        <v>14765.92</v>
      </c>
      <c r="L38" s="29">
        <v>0</v>
      </c>
      <c r="M38" s="48">
        <v>14748.709444692033</v>
      </c>
      <c r="N38" s="29">
        <v>22004.488250931841</v>
      </c>
      <c r="O38" s="29">
        <v>0</v>
      </c>
      <c r="P38" s="45">
        <f t="shared" si="0"/>
        <v>793727.86136039533</v>
      </c>
      <c r="R38" s="29">
        <f t="shared" si="1"/>
        <v>771723.37310946349</v>
      </c>
    </row>
    <row r="39" spans="1:18" x14ac:dyDescent="0.2">
      <c r="A39" s="18" t="s">
        <v>80</v>
      </c>
      <c r="B39" s="19">
        <v>2627</v>
      </c>
      <c r="C39" s="29">
        <v>941945.55373085185</v>
      </c>
      <c r="D39" s="29">
        <v>43281.745237499999</v>
      </c>
      <c r="E39" s="29">
        <v>0</v>
      </c>
      <c r="F39" s="29">
        <v>0</v>
      </c>
      <c r="G39" s="29">
        <v>33834.455319148954</v>
      </c>
      <c r="H39" s="29">
        <v>21335.999999999993</v>
      </c>
      <c r="I39" s="29">
        <v>100000</v>
      </c>
      <c r="J39" s="29">
        <v>0</v>
      </c>
      <c r="K39" s="29">
        <v>20005.439999999999</v>
      </c>
      <c r="L39" s="29">
        <v>0</v>
      </c>
      <c r="M39" s="48">
        <v>28110.164040625907</v>
      </c>
      <c r="N39" s="29">
        <v>15260.729529658565</v>
      </c>
      <c r="O39" s="29">
        <v>0</v>
      </c>
      <c r="P39" s="45">
        <f t="shared" si="0"/>
        <v>1203774.0878577852</v>
      </c>
      <c r="R39" s="29">
        <f t="shared" si="1"/>
        <v>1188513.3583281266</v>
      </c>
    </row>
    <row r="40" spans="1:18" x14ac:dyDescent="0.2">
      <c r="A40" s="18" t="s">
        <v>81</v>
      </c>
      <c r="B40" s="19">
        <v>2009</v>
      </c>
      <c r="C40" s="29">
        <v>685051.31180425594</v>
      </c>
      <c r="D40" s="29">
        <v>321108.35071999999</v>
      </c>
      <c r="E40" s="29">
        <v>0</v>
      </c>
      <c r="F40" s="29">
        <v>0</v>
      </c>
      <c r="G40" s="29">
        <v>9959.1254237288176</v>
      </c>
      <c r="H40" s="29">
        <v>0</v>
      </c>
      <c r="I40" s="29">
        <v>100000</v>
      </c>
      <c r="J40" s="29">
        <v>0</v>
      </c>
      <c r="K40" s="29">
        <v>2548.3119999999999</v>
      </c>
      <c r="L40" s="29">
        <v>0</v>
      </c>
      <c r="M40" s="48">
        <v>20443.75566590975</v>
      </c>
      <c r="N40" s="29">
        <v>6483.7901477946434</v>
      </c>
      <c r="O40" s="29">
        <v>0</v>
      </c>
      <c r="P40" s="45">
        <f t="shared" si="0"/>
        <v>1145594.6457616892</v>
      </c>
      <c r="R40" s="29">
        <f t="shared" si="1"/>
        <v>1139110.8556138945</v>
      </c>
    </row>
    <row r="41" spans="1:18" x14ac:dyDescent="0.2">
      <c r="A41" s="18" t="s">
        <v>162</v>
      </c>
      <c r="B41" s="19">
        <v>2473</v>
      </c>
      <c r="C41" s="29">
        <v>660585.19352553249</v>
      </c>
      <c r="D41" s="29">
        <v>205687.04887271376</v>
      </c>
      <c r="E41" s="29">
        <v>1681.9172932330825</v>
      </c>
      <c r="F41" s="29">
        <v>0</v>
      </c>
      <c r="G41" s="29">
        <v>9793.1400000000031</v>
      </c>
      <c r="H41" s="29">
        <v>3047.9999999999968</v>
      </c>
      <c r="I41" s="29">
        <v>100000</v>
      </c>
      <c r="J41" s="29">
        <v>0</v>
      </c>
      <c r="K41" s="29">
        <v>14765.92</v>
      </c>
      <c r="L41" s="29">
        <v>0</v>
      </c>
      <c r="M41" s="48">
        <v>19713.621534984402</v>
      </c>
      <c r="N41" s="29">
        <v>34171.668032713817</v>
      </c>
      <c r="O41" s="29">
        <v>0</v>
      </c>
      <c r="P41" s="45">
        <f t="shared" si="0"/>
        <v>1049446.5092591776</v>
      </c>
      <c r="R41" s="29">
        <f t="shared" si="1"/>
        <v>1015274.8412264638</v>
      </c>
    </row>
    <row r="42" spans="1:18" x14ac:dyDescent="0.2">
      <c r="A42" s="18" t="s">
        <v>84</v>
      </c>
      <c r="B42" s="19">
        <v>2471</v>
      </c>
      <c r="C42" s="29">
        <v>846527.69244383054</v>
      </c>
      <c r="D42" s="29">
        <v>290793.12992600002</v>
      </c>
      <c r="E42" s="29">
        <v>3333.2674418604652</v>
      </c>
      <c r="F42" s="29">
        <v>0</v>
      </c>
      <c r="G42" s="29">
        <v>2798.0399999999991</v>
      </c>
      <c r="H42" s="29">
        <v>16001.999999999998</v>
      </c>
      <c r="I42" s="29">
        <v>100000</v>
      </c>
      <c r="J42" s="29">
        <v>0</v>
      </c>
      <c r="K42" s="29">
        <v>14765.92</v>
      </c>
      <c r="L42" s="29">
        <v>0</v>
      </c>
      <c r="M42" s="48">
        <v>25262.640930017049</v>
      </c>
      <c r="N42" s="29">
        <v>1226.3806738136336</v>
      </c>
      <c r="O42" s="29">
        <v>0</v>
      </c>
      <c r="P42" s="45">
        <f t="shared" si="0"/>
        <v>1300709.0714155217</v>
      </c>
      <c r="R42" s="29">
        <f t="shared" si="1"/>
        <v>1299482.690741708</v>
      </c>
    </row>
    <row r="43" spans="1:18" x14ac:dyDescent="0.2">
      <c r="A43" s="18" t="s">
        <v>82</v>
      </c>
      <c r="B43" s="19">
        <v>2420</v>
      </c>
      <c r="C43" s="29">
        <v>1113208.3816819158</v>
      </c>
      <c r="D43" s="29">
        <v>761900.59792500001</v>
      </c>
      <c r="E43" s="29">
        <v>0</v>
      </c>
      <c r="F43" s="29">
        <v>0</v>
      </c>
      <c r="G43" s="29">
        <v>110953.72452830189</v>
      </c>
      <c r="H43" s="29">
        <v>49530.000000000044</v>
      </c>
      <c r="I43" s="29">
        <v>100000</v>
      </c>
      <c r="J43" s="29">
        <v>0</v>
      </c>
      <c r="K43" s="29">
        <v>21910.720000000001</v>
      </c>
      <c r="L43" s="29">
        <v>0</v>
      </c>
      <c r="M43" s="48">
        <v>33221.102957103343</v>
      </c>
      <c r="N43" s="29">
        <v>0</v>
      </c>
      <c r="O43" s="29">
        <v>0</v>
      </c>
      <c r="P43" s="45">
        <f t="shared" si="0"/>
        <v>2190724.5270923213</v>
      </c>
      <c r="R43" s="29">
        <f t="shared" si="1"/>
        <v>2190724.5270923213</v>
      </c>
    </row>
    <row r="44" spans="1:18" x14ac:dyDescent="0.2">
      <c r="A44" s="18" t="s">
        <v>85</v>
      </c>
      <c r="B44" s="19">
        <v>2003</v>
      </c>
      <c r="C44" s="29">
        <v>521128.31933680893</v>
      </c>
      <c r="D44" s="29">
        <v>16625.109968428569</v>
      </c>
      <c r="E44" s="29">
        <v>1649.2570093457944</v>
      </c>
      <c r="F44" s="29">
        <v>0</v>
      </c>
      <c r="G44" s="29">
        <v>2171.1567213114795</v>
      </c>
      <c r="H44" s="29">
        <v>2285.9999999999968</v>
      </c>
      <c r="I44" s="29">
        <v>100000</v>
      </c>
      <c r="J44" s="29">
        <v>0</v>
      </c>
      <c r="K44" s="29">
        <v>27388.400000000001</v>
      </c>
      <c r="L44" s="29">
        <v>0</v>
      </c>
      <c r="M44" s="48">
        <v>15551.856988709917</v>
      </c>
      <c r="N44" s="29">
        <v>5223.4712271742756</v>
      </c>
      <c r="O44" s="29">
        <v>0</v>
      </c>
      <c r="P44" s="45">
        <f t="shared" si="0"/>
        <v>692023.57125177898</v>
      </c>
      <c r="R44" s="29">
        <f t="shared" si="1"/>
        <v>686800.1000246047</v>
      </c>
    </row>
    <row r="45" spans="1:18" x14ac:dyDescent="0.2">
      <c r="A45" s="18" t="s">
        <v>86</v>
      </c>
      <c r="B45" s="19">
        <v>2423</v>
      </c>
      <c r="C45" s="29">
        <v>878333.6462061709</v>
      </c>
      <c r="D45" s="29">
        <v>391887.43648937554</v>
      </c>
      <c r="E45" s="29">
        <v>3468.5889212827988</v>
      </c>
      <c r="F45" s="29">
        <v>0</v>
      </c>
      <c r="G45" s="29">
        <v>151094.15999999986</v>
      </c>
      <c r="H45" s="29">
        <v>56387.999999999905</v>
      </c>
      <c r="I45" s="29">
        <v>100000</v>
      </c>
      <c r="J45" s="29">
        <v>0</v>
      </c>
      <c r="K45" s="29">
        <v>12027.08</v>
      </c>
      <c r="L45" s="29">
        <v>0</v>
      </c>
      <c r="M45" s="48">
        <v>26211.815300220002</v>
      </c>
      <c r="N45" s="29">
        <v>148049.88145425171</v>
      </c>
      <c r="O45" s="29">
        <v>0</v>
      </c>
      <c r="P45" s="45">
        <f t="shared" si="0"/>
        <v>1767460.6083713011</v>
      </c>
      <c r="R45" s="29">
        <f t="shared" si="1"/>
        <v>1619410.7269170494</v>
      </c>
    </row>
    <row r="46" spans="1:18" x14ac:dyDescent="0.2">
      <c r="A46" s="18" t="s">
        <v>87</v>
      </c>
      <c r="B46" s="19">
        <v>2424</v>
      </c>
      <c r="C46" s="29">
        <v>655691.9698697878</v>
      </c>
      <c r="D46" s="29">
        <v>260803.48554799991</v>
      </c>
      <c r="E46" s="29">
        <v>0</v>
      </c>
      <c r="F46" s="29">
        <v>0</v>
      </c>
      <c r="G46" s="29">
        <v>174551.84357541907</v>
      </c>
      <c r="H46" s="29">
        <v>21336.000000000102</v>
      </c>
      <c r="I46" s="29">
        <v>100000</v>
      </c>
      <c r="J46" s="29">
        <v>0</v>
      </c>
      <c r="K46" s="29">
        <v>12027.08</v>
      </c>
      <c r="L46" s="29">
        <v>0</v>
      </c>
      <c r="M46" s="48">
        <v>19567.59470879933</v>
      </c>
      <c r="N46" s="29">
        <v>149891.68876380916</v>
      </c>
      <c r="O46" s="29">
        <v>0</v>
      </c>
      <c r="P46" s="45">
        <f t="shared" si="0"/>
        <v>1393869.6624658154</v>
      </c>
      <c r="R46" s="29">
        <f t="shared" si="1"/>
        <v>1243977.9737020063</v>
      </c>
    </row>
    <row r="47" spans="1:18" x14ac:dyDescent="0.2">
      <c r="A47" s="18" t="s">
        <v>88</v>
      </c>
      <c r="B47" s="19">
        <v>2439</v>
      </c>
      <c r="C47" s="29">
        <v>582293.61503361748</v>
      </c>
      <c r="D47" s="29">
        <v>20158.112968000005</v>
      </c>
      <c r="E47" s="29">
        <v>0</v>
      </c>
      <c r="F47" s="29">
        <v>0</v>
      </c>
      <c r="G47" s="29">
        <v>4188.2611320754741</v>
      </c>
      <c r="H47" s="29">
        <v>5334.0000000000091</v>
      </c>
      <c r="I47" s="29">
        <v>100000</v>
      </c>
      <c r="J47" s="29">
        <v>0</v>
      </c>
      <c r="K47" s="29">
        <v>8073</v>
      </c>
      <c r="L47" s="29">
        <v>0</v>
      </c>
      <c r="M47" s="48">
        <v>17377.192316023287</v>
      </c>
      <c r="N47" s="29">
        <v>1935.7341849750374</v>
      </c>
      <c r="O47" s="29">
        <v>0</v>
      </c>
      <c r="P47" s="45">
        <f t="shared" si="0"/>
        <v>739359.91563469125</v>
      </c>
      <c r="R47" s="29">
        <f t="shared" si="1"/>
        <v>737424.18144971621</v>
      </c>
    </row>
    <row r="48" spans="1:18" x14ac:dyDescent="0.2">
      <c r="A48" s="18" t="s">
        <v>89</v>
      </c>
      <c r="B48" s="19">
        <v>2440</v>
      </c>
      <c r="C48" s="29">
        <v>714410.65373872395</v>
      </c>
      <c r="D48" s="29">
        <v>44541.402227448285</v>
      </c>
      <c r="E48" s="29">
        <v>0</v>
      </c>
      <c r="F48" s="29">
        <v>0</v>
      </c>
      <c r="G48" s="29">
        <v>2798.0399999999927</v>
      </c>
      <c r="H48" s="29">
        <v>6096</v>
      </c>
      <c r="I48" s="29">
        <v>100000</v>
      </c>
      <c r="J48" s="29">
        <v>0</v>
      </c>
      <c r="K48" s="29">
        <v>33104.239999999998</v>
      </c>
      <c r="L48" s="29">
        <v>0</v>
      </c>
      <c r="M48" s="48">
        <v>21319.916623020166</v>
      </c>
      <c r="N48" s="29">
        <v>11502.362477016635</v>
      </c>
      <c r="O48" s="29">
        <v>0</v>
      </c>
      <c r="P48" s="45">
        <f t="shared" si="0"/>
        <v>933772.61506620911</v>
      </c>
      <c r="R48" s="29">
        <f t="shared" si="1"/>
        <v>922270.25258919247</v>
      </c>
    </row>
    <row r="49" spans="1:18" x14ac:dyDescent="0.2">
      <c r="A49" s="18" t="s">
        <v>163</v>
      </c>
      <c r="B49" s="19">
        <v>2462</v>
      </c>
      <c r="C49" s="29">
        <v>570060.55589425575</v>
      </c>
      <c r="D49" s="29">
        <v>59666.287310310334</v>
      </c>
      <c r="E49" s="29">
        <v>0</v>
      </c>
      <c r="F49" s="29">
        <v>0</v>
      </c>
      <c r="G49" s="29">
        <v>19218.283809523818</v>
      </c>
      <c r="H49" s="29">
        <v>10667.999999999993</v>
      </c>
      <c r="I49" s="29">
        <v>100000</v>
      </c>
      <c r="J49" s="29">
        <v>0</v>
      </c>
      <c r="K49" s="29">
        <v>13336.96</v>
      </c>
      <c r="L49" s="29">
        <v>0</v>
      </c>
      <c r="M49" s="48">
        <v>17012.125250560613</v>
      </c>
      <c r="N49" s="29">
        <v>35206.375359591795</v>
      </c>
      <c r="O49" s="29">
        <v>0</v>
      </c>
      <c r="P49" s="45">
        <f t="shared" si="0"/>
        <v>825168.58762424218</v>
      </c>
      <c r="R49" s="29">
        <f t="shared" si="1"/>
        <v>789962.21226465038</v>
      </c>
    </row>
    <row r="50" spans="1:18" x14ac:dyDescent="0.2">
      <c r="A50" s="18" t="s">
        <v>91</v>
      </c>
      <c r="B50" s="19">
        <v>2463</v>
      </c>
      <c r="C50" s="29">
        <v>751109.83115680912</v>
      </c>
      <c r="D50" s="29">
        <v>75129.288783105265</v>
      </c>
      <c r="E50" s="29">
        <v>0</v>
      </c>
      <c r="F50" s="29">
        <v>0</v>
      </c>
      <c r="G50" s="29">
        <v>19586.28000000001</v>
      </c>
      <c r="H50" s="29">
        <v>8381.9999999999891</v>
      </c>
      <c r="I50" s="29">
        <v>100000</v>
      </c>
      <c r="J50" s="29">
        <v>0</v>
      </c>
      <c r="K50" s="29">
        <v>13336.96</v>
      </c>
      <c r="L50" s="29">
        <v>0</v>
      </c>
      <c r="M50" s="48">
        <v>22415.117819408188</v>
      </c>
      <c r="N50" s="29">
        <v>0</v>
      </c>
      <c r="O50" s="29">
        <v>-1649.4355169726682</v>
      </c>
      <c r="P50" s="45">
        <f t="shared" si="0"/>
        <v>988310.04224234994</v>
      </c>
      <c r="R50" s="29">
        <f t="shared" si="1"/>
        <v>986660.60672537726</v>
      </c>
    </row>
    <row r="51" spans="1:18" x14ac:dyDescent="0.2">
      <c r="A51" s="18" t="s">
        <v>92</v>
      </c>
      <c r="B51" s="19">
        <v>2505</v>
      </c>
      <c r="C51" s="29">
        <v>1066722.7569523414</v>
      </c>
      <c r="D51" s="29">
        <v>354028.20055842225</v>
      </c>
      <c r="E51" s="29">
        <v>0</v>
      </c>
      <c r="F51" s="29">
        <v>0</v>
      </c>
      <c r="G51" s="29">
        <v>63081.204653739544</v>
      </c>
      <c r="H51" s="29">
        <v>29718.000000000011</v>
      </c>
      <c r="I51" s="29">
        <v>100000</v>
      </c>
      <c r="J51" s="29">
        <v>0</v>
      </c>
      <c r="K51" s="29">
        <v>27864.274285714284</v>
      </c>
      <c r="L51" s="29">
        <v>0</v>
      </c>
      <c r="M51" s="48">
        <v>31833.848108345181</v>
      </c>
      <c r="N51" s="29">
        <v>29743.092200915096</v>
      </c>
      <c r="O51" s="29">
        <v>0</v>
      </c>
      <c r="P51" s="45">
        <f t="shared" si="0"/>
        <v>1702991.3767594779</v>
      </c>
      <c r="R51" s="29">
        <f t="shared" si="1"/>
        <v>1673248.2845585628</v>
      </c>
    </row>
    <row r="52" spans="1:18" x14ac:dyDescent="0.2">
      <c r="A52" s="18" t="s">
        <v>93</v>
      </c>
      <c r="B52" s="19">
        <v>2000</v>
      </c>
      <c r="C52" s="29">
        <v>682604.69997638359</v>
      </c>
      <c r="D52" s="29">
        <v>200592.93607354641</v>
      </c>
      <c r="E52" s="29">
        <v>0</v>
      </c>
      <c r="F52" s="29">
        <v>0</v>
      </c>
      <c r="G52" s="29">
        <v>11009.211230769228</v>
      </c>
      <c r="H52" s="29">
        <v>24886.053511705693</v>
      </c>
      <c r="I52" s="29">
        <v>100000</v>
      </c>
      <c r="J52" s="29">
        <v>0</v>
      </c>
      <c r="K52" s="29">
        <v>15837.64</v>
      </c>
      <c r="L52" s="29">
        <v>0</v>
      </c>
      <c r="M52" s="48">
        <v>20370.742252817214</v>
      </c>
      <c r="N52" s="29">
        <v>0</v>
      </c>
      <c r="O52" s="29">
        <v>0</v>
      </c>
      <c r="P52" s="45">
        <f t="shared" si="0"/>
        <v>1055301.2830452221</v>
      </c>
      <c r="R52" s="29">
        <f t="shared" si="1"/>
        <v>1055301.2830452221</v>
      </c>
    </row>
    <row r="53" spans="1:18" x14ac:dyDescent="0.2">
      <c r="A53" s="18" t="s">
        <v>94</v>
      </c>
      <c r="B53" s="19">
        <v>2458</v>
      </c>
      <c r="C53" s="29">
        <v>658138.58169766015</v>
      </c>
      <c r="D53" s="29">
        <v>94130.645502194035</v>
      </c>
      <c r="E53" s="29">
        <v>1650.8629629629631</v>
      </c>
      <c r="F53" s="29">
        <v>0</v>
      </c>
      <c r="G53" s="29">
        <v>117736.52111731849</v>
      </c>
      <c r="H53" s="29">
        <v>6858.0000000000064</v>
      </c>
      <c r="I53" s="29">
        <v>100000</v>
      </c>
      <c r="J53" s="29">
        <v>0</v>
      </c>
      <c r="K53" s="29">
        <v>3165.76</v>
      </c>
      <c r="L53" s="29">
        <v>0</v>
      </c>
      <c r="M53" s="48">
        <v>19640.608121891866</v>
      </c>
      <c r="N53" s="29">
        <v>0</v>
      </c>
      <c r="O53" s="29">
        <v>-46781.734390051701</v>
      </c>
      <c r="P53" s="45">
        <f t="shared" si="0"/>
        <v>954539.24501197587</v>
      </c>
      <c r="R53" s="29">
        <f t="shared" si="1"/>
        <v>907757.51062192419</v>
      </c>
    </row>
    <row r="54" spans="1:18" x14ac:dyDescent="0.2">
      <c r="A54" s="18" t="s">
        <v>95</v>
      </c>
      <c r="B54" s="19">
        <v>2001</v>
      </c>
      <c r="C54" s="29">
        <v>760896.27846829849</v>
      </c>
      <c r="D54" s="29">
        <v>436638.82921706489</v>
      </c>
      <c r="E54" s="29">
        <v>0</v>
      </c>
      <c r="F54" s="29">
        <v>0</v>
      </c>
      <c r="G54" s="29">
        <v>18490.10231075696</v>
      </c>
      <c r="H54" s="29">
        <v>25145.999999999891</v>
      </c>
      <c r="I54" s="29">
        <v>100000</v>
      </c>
      <c r="J54" s="29">
        <v>0</v>
      </c>
      <c r="K54" s="29">
        <v>17981.080000000002</v>
      </c>
      <c r="L54" s="29">
        <v>0</v>
      </c>
      <c r="M54" s="48">
        <v>22707.171471778329</v>
      </c>
      <c r="N54" s="29">
        <v>0</v>
      </c>
      <c r="O54" s="29">
        <v>-19024.745701162443</v>
      </c>
      <c r="P54" s="45">
        <f t="shared" si="0"/>
        <v>1362834.7157667363</v>
      </c>
      <c r="R54" s="29">
        <f t="shared" si="1"/>
        <v>1343809.9700655739</v>
      </c>
    </row>
    <row r="55" spans="1:18" x14ac:dyDescent="0.2">
      <c r="A55" s="18" t="s">
        <v>96</v>
      </c>
      <c r="B55" s="19">
        <v>2429</v>
      </c>
      <c r="C55" s="29">
        <v>369438.3860087237</v>
      </c>
      <c r="D55" s="29">
        <v>137966.58664960394</v>
      </c>
      <c r="E55" s="29">
        <v>0</v>
      </c>
      <c r="F55" s="29">
        <v>0</v>
      </c>
      <c r="G55" s="29">
        <v>105284.17825242724</v>
      </c>
      <c r="H55" s="29">
        <v>4571.9999999999945</v>
      </c>
      <c r="I55" s="29">
        <v>100000</v>
      </c>
      <c r="J55" s="29">
        <v>0</v>
      </c>
      <c r="K55" s="29">
        <v>8811.92</v>
      </c>
      <c r="L55" s="29">
        <v>0</v>
      </c>
      <c r="M55" s="48">
        <v>11025.025376972757</v>
      </c>
      <c r="N55" s="29">
        <v>0</v>
      </c>
      <c r="O55" s="29">
        <v>-1263.2738322073765</v>
      </c>
      <c r="P55" s="45">
        <f t="shared" si="0"/>
        <v>735834.82245552028</v>
      </c>
      <c r="R55" s="29">
        <f t="shared" si="1"/>
        <v>734571.54862331285</v>
      </c>
    </row>
    <row r="56" spans="1:18" x14ac:dyDescent="0.2">
      <c r="A56" s="18" t="s">
        <v>97</v>
      </c>
      <c r="B56" s="19">
        <v>2444</v>
      </c>
      <c r="C56" s="29">
        <v>511341.87202531955</v>
      </c>
      <c r="D56" s="29">
        <v>140760.60155443478</v>
      </c>
      <c r="E56" s="29">
        <v>1657</v>
      </c>
      <c r="F56" s="29">
        <v>0</v>
      </c>
      <c r="G56" s="29">
        <v>11218.999712230219</v>
      </c>
      <c r="H56" s="29">
        <v>761.99999999999989</v>
      </c>
      <c r="I56" s="29">
        <v>100000</v>
      </c>
      <c r="J56" s="29">
        <v>0</v>
      </c>
      <c r="K56" s="29">
        <v>9169.16</v>
      </c>
      <c r="L56" s="29">
        <v>0</v>
      </c>
      <c r="M56" s="48">
        <v>15259.803336339777</v>
      </c>
      <c r="N56" s="29">
        <v>6731.2450030704495</v>
      </c>
      <c r="O56" s="29">
        <v>0</v>
      </c>
      <c r="P56" s="45">
        <f t="shared" si="0"/>
        <v>796900.68163139478</v>
      </c>
      <c r="R56" s="29">
        <f t="shared" si="1"/>
        <v>790169.43662832433</v>
      </c>
    </row>
    <row r="57" spans="1:18" x14ac:dyDescent="0.2">
      <c r="A57" s="18" t="s">
        <v>98</v>
      </c>
      <c r="B57" s="19">
        <v>5209</v>
      </c>
      <c r="C57" s="29">
        <v>682604.69997638359</v>
      </c>
      <c r="D57" s="29">
        <v>247328.9137858696</v>
      </c>
      <c r="E57" s="29">
        <v>1718.5985130111521</v>
      </c>
      <c r="F57" s="29">
        <v>0</v>
      </c>
      <c r="G57" s="29">
        <v>1865.3600000000008</v>
      </c>
      <c r="H57" s="29">
        <v>14478.000000000007</v>
      </c>
      <c r="I57" s="29">
        <v>100000</v>
      </c>
      <c r="J57" s="29">
        <v>0</v>
      </c>
      <c r="K57" s="29">
        <v>2300.3760000000002</v>
      </c>
      <c r="L57" s="29">
        <v>0</v>
      </c>
      <c r="M57" s="48">
        <v>20370.742252817214</v>
      </c>
      <c r="N57" s="29">
        <v>0</v>
      </c>
      <c r="O57" s="29">
        <v>0</v>
      </c>
      <c r="P57" s="45">
        <f t="shared" si="0"/>
        <v>1070666.6905280815</v>
      </c>
      <c r="R57" s="29">
        <f t="shared" si="1"/>
        <v>1070666.6905280815</v>
      </c>
    </row>
    <row r="58" spans="1:18" x14ac:dyDescent="0.2">
      <c r="A58" s="18" t="s">
        <v>99</v>
      </c>
      <c r="B58" s="19">
        <v>2469</v>
      </c>
      <c r="C58" s="29">
        <v>944392.1655587242</v>
      </c>
      <c r="D58" s="29">
        <v>86057.818173425592</v>
      </c>
      <c r="E58" s="29">
        <v>1757.1483516483518</v>
      </c>
      <c r="F58" s="29">
        <v>0</v>
      </c>
      <c r="G58" s="29">
        <v>6467.325988023942</v>
      </c>
      <c r="H58" s="29">
        <v>45719.999999999993</v>
      </c>
      <c r="I58" s="29">
        <v>100000</v>
      </c>
      <c r="J58" s="29">
        <v>0</v>
      </c>
      <c r="K58" s="29">
        <v>13932.36</v>
      </c>
      <c r="L58" s="29">
        <v>0</v>
      </c>
      <c r="M58" s="48">
        <v>28183.177453718439</v>
      </c>
      <c r="N58" s="29">
        <v>28786.805613537086</v>
      </c>
      <c r="O58" s="29">
        <v>0</v>
      </c>
      <c r="P58" s="45">
        <f t="shared" si="0"/>
        <v>1255296.8011390776</v>
      </c>
      <c r="R58" s="29">
        <f t="shared" si="1"/>
        <v>1226509.9955255406</v>
      </c>
    </row>
    <row r="59" spans="1:18" x14ac:dyDescent="0.2">
      <c r="A59" s="18" t="s">
        <v>100</v>
      </c>
      <c r="B59" s="19">
        <v>2430</v>
      </c>
      <c r="C59" s="29">
        <v>274020.52472170233</v>
      </c>
      <c r="D59" s="29">
        <v>155254.70793600002</v>
      </c>
      <c r="E59" s="29">
        <v>0</v>
      </c>
      <c r="F59" s="29">
        <v>0</v>
      </c>
      <c r="G59" s="29">
        <v>28385.9130434783</v>
      </c>
      <c r="H59" s="29">
        <v>13716.000000000024</v>
      </c>
      <c r="I59" s="29">
        <v>100000</v>
      </c>
      <c r="J59" s="29">
        <v>0</v>
      </c>
      <c r="K59" s="29">
        <v>19171.88</v>
      </c>
      <c r="L59" s="29">
        <v>21538.503720649722</v>
      </c>
      <c r="M59" s="48">
        <v>8177.5022663638993</v>
      </c>
      <c r="N59" s="29">
        <v>9838.9518841683748</v>
      </c>
      <c r="O59" s="29">
        <v>0</v>
      </c>
      <c r="P59" s="45">
        <f t="shared" si="0"/>
        <v>630103.98357236269</v>
      </c>
      <c r="R59" s="29">
        <f t="shared" si="1"/>
        <v>620265.03168819426</v>
      </c>
    </row>
    <row r="60" spans="1:18" x14ac:dyDescent="0.2">
      <c r="A60" s="18" t="s">
        <v>101</v>
      </c>
      <c r="B60" s="19">
        <v>2466</v>
      </c>
      <c r="C60" s="29">
        <v>401244.33977106417</v>
      </c>
      <c r="D60" s="29">
        <v>73553.691930527639</v>
      </c>
      <c r="E60" s="29">
        <v>0</v>
      </c>
      <c r="F60" s="29">
        <v>0</v>
      </c>
      <c r="G60" s="29">
        <v>2282.977910447767</v>
      </c>
      <c r="H60" s="29">
        <v>15239.999999999984</v>
      </c>
      <c r="I60" s="29">
        <v>100000</v>
      </c>
      <c r="J60" s="29">
        <v>0</v>
      </c>
      <c r="K60" s="29">
        <v>11908</v>
      </c>
      <c r="L60" s="29">
        <v>0</v>
      </c>
      <c r="M60" s="48">
        <v>11974.199747175709</v>
      </c>
      <c r="N60" s="29">
        <v>25389.117688323255</v>
      </c>
      <c r="O60" s="29">
        <v>0</v>
      </c>
      <c r="P60" s="45">
        <f t="shared" si="0"/>
        <v>641592.32704753848</v>
      </c>
      <c r="R60" s="29">
        <f t="shared" si="1"/>
        <v>616203.20935921522</v>
      </c>
    </row>
    <row r="61" spans="1:18" x14ac:dyDescent="0.2">
      <c r="A61" s="18" t="s">
        <v>102</v>
      </c>
      <c r="B61" s="19">
        <v>3543</v>
      </c>
      <c r="C61" s="29">
        <v>699730.98277149</v>
      </c>
      <c r="D61" s="29">
        <v>132318.89702822539</v>
      </c>
      <c r="E61" s="29">
        <v>0</v>
      </c>
      <c r="F61" s="29">
        <v>0</v>
      </c>
      <c r="G61" s="29">
        <v>19840.647272727274</v>
      </c>
      <c r="H61" s="29">
        <v>6858.0000000000064</v>
      </c>
      <c r="I61" s="29">
        <v>100000</v>
      </c>
      <c r="J61" s="29">
        <v>0</v>
      </c>
      <c r="K61" s="29">
        <v>2869.7759999999998</v>
      </c>
      <c r="L61" s="29">
        <v>0</v>
      </c>
      <c r="M61" s="48">
        <v>20881.83614446496</v>
      </c>
      <c r="N61" s="29">
        <v>0</v>
      </c>
      <c r="O61" s="29">
        <v>-3496.4249326383033</v>
      </c>
      <c r="P61" s="45">
        <f t="shared" si="0"/>
        <v>979003.71428426914</v>
      </c>
      <c r="R61" s="29">
        <f t="shared" si="1"/>
        <v>975507.28935163084</v>
      </c>
    </row>
    <row r="62" spans="1:18" x14ac:dyDescent="0.2">
      <c r="A62" s="18" t="s">
        <v>104</v>
      </c>
      <c r="B62" s="19">
        <v>3531</v>
      </c>
      <c r="C62" s="29">
        <v>831848.02147659648</v>
      </c>
      <c r="D62" s="29">
        <v>235078.38400787878</v>
      </c>
      <c r="E62" s="29">
        <v>0</v>
      </c>
      <c r="F62" s="29">
        <v>0</v>
      </c>
      <c r="G62" s="29">
        <v>23366.088421052631</v>
      </c>
      <c r="H62" s="29">
        <v>23622.000000000004</v>
      </c>
      <c r="I62" s="29">
        <v>100000</v>
      </c>
      <c r="J62" s="29">
        <v>0</v>
      </c>
      <c r="K62" s="29">
        <v>2869.7759999999998</v>
      </c>
      <c r="L62" s="29">
        <v>0</v>
      </c>
      <c r="M62" s="48">
        <v>24824.560451461839</v>
      </c>
      <c r="N62" s="29">
        <v>19918.157144864323</v>
      </c>
      <c r="O62" s="29">
        <v>0</v>
      </c>
      <c r="P62" s="45">
        <f t="shared" si="0"/>
        <v>1261526.9875018541</v>
      </c>
      <c r="R62" s="29">
        <f t="shared" si="1"/>
        <v>1241608.8303569898</v>
      </c>
    </row>
    <row r="63" spans="1:18" x14ac:dyDescent="0.2">
      <c r="A63" s="18" t="s">
        <v>164</v>
      </c>
      <c r="B63" s="19">
        <v>3526</v>
      </c>
      <c r="C63" s="29">
        <v>220195.06450851081</v>
      </c>
      <c r="D63" s="29">
        <v>87879.848219999971</v>
      </c>
      <c r="E63" s="29">
        <v>0</v>
      </c>
      <c r="F63" s="29">
        <v>0</v>
      </c>
      <c r="G63" s="29">
        <v>45527.43050847455</v>
      </c>
      <c r="H63" s="29">
        <v>6096.0000000000009</v>
      </c>
      <c r="I63" s="29">
        <v>100000</v>
      </c>
      <c r="J63" s="29">
        <v>0</v>
      </c>
      <c r="K63" s="29">
        <v>1063.6142399999999</v>
      </c>
      <c r="L63" s="29">
        <v>0</v>
      </c>
      <c r="M63" s="48">
        <v>6571.2071783281335</v>
      </c>
      <c r="N63" s="29">
        <v>0</v>
      </c>
      <c r="O63" s="29">
        <v>-8452.5323699881883</v>
      </c>
      <c r="P63" s="45">
        <f t="shared" si="0"/>
        <v>458880.63228532526</v>
      </c>
      <c r="R63" s="29">
        <f t="shared" si="1"/>
        <v>450428.09991533705</v>
      </c>
    </row>
    <row r="64" spans="1:18" x14ac:dyDescent="0.2">
      <c r="A64" s="18" t="s">
        <v>165</v>
      </c>
      <c r="B64" s="19">
        <v>3535</v>
      </c>
      <c r="C64" s="29">
        <v>719303.87739446864</v>
      </c>
      <c r="D64" s="29">
        <v>283943.44527912338</v>
      </c>
      <c r="E64" s="29">
        <v>0</v>
      </c>
      <c r="F64" s="29">
        <v>0</v>
      </c>
      <c r="G64" s="29">
        <v>107421.6593814434</v>
      </c>
      <c r="H64" s="29">
        <v>25146.000000000076</v>
      </c>
      <c r="I64" s="29">
        <v>100000</v>
      </c>
      <c r="J64" s="29">
        <v>0</v>
      </c>
      <c r="K64" s="29">
        <v>2254.8240000000005</v>
      </c>
      <c r="L64" s="29">
        <v>0</v>
      </c>
      <c r="M64" s="48">
        <v>21465.943449205235</v>
      </c>
      <c r="N64" s="29">
        <v>100166.55649806559</v>
      </c>
      <c r="O64" s="29">
        <v>0</v>
      </c>
      <c r="P64" s="45">
        <f t="shared" si="0"/>
        <v>1359702.3060023063</v>
      </c>
      <c r="R64" s="29">
        <f t="shared" si="1"/>
        <v>1259535.7495042407</v>
      </c>
    </row>
    <row r="65" spans="1:18" x14ac:dyDescent="0.2">
      <c r="A65" s="21" t="s">
        <v>107</v>
      </c>
      <c r="B65" s="19">
        <v>2008</v>
      </c>
      <c r="C65" s="29">
        <v>533361.37847617071</v>
      </c>
      <c r="D65" s="29">
        <v>171843.16197844443</v>
      </c>
      <c r="E65" s="29">
        <v>0</v>
      </c>
      <c r="F65" s="29">
        <v>0</v>
      </c>
      <c r="G65" s="29">
        <v>15141.166808510641</v>
      </c>
      <c r="H65" s="29">
        <v>0</v>
      </c>
      <c r="I65" s="29">
        <v>100000</v>
      </c>
      <c r="J65" s="29">
        <v>0</v>
      </c>
      <c r="K65" s="29">
        <v>2345.9279999999999</v>
      </c>
      <c r="L65" s="29">
        <v>0</v>
      </c>
      <c r="M65" s="48">
        <v>15916.92405417259</v>
      </c>
      <c r="N65" s="29">
        <v>42042.09500796441</v>
      </c>
      <c r="O65" s="29">
        <v>0</v>
      </c>
      <c r="P65" s="45">
        <f t="shared" si="0"/>
        <v>880650.65432526276</v>
      </c>
      <c r="R65" s="29">
        <f t="shared" si="1"/>
        <v>838608.55931729835</v>
      </c>
    </row>
    <row r="66" spans="1:18" x14ac:dyDescent="0.2">
      <c r="A66" s="18" t="s">
        <v>166</v>
      </c>
      <c r="B66" s="19">
        <v>3542</v>
      </c>
      <c r="C66" s="29">
        <v>863653.97523893684</v>
      </c>
      <c r="D66" s="29">
        <v>192466.26043600001</v>
      </c>
      <c r="E66" s="29">
        <v>1675.9914040114613</v>
      </c>
      <c r="F66" s="29">
        <v>0</v>
      </c>
      <c r="G66" s="29">
        <v>74876.423812709152</v>
      </c>
      <c r="H66" s="29">
        <v>12954</v>
      </c>
      <c r="I66" s="29">
        <v>100000</v>
      </c>
      <c r="J66" s="29">
        <v>0</v>
      </c>
      <c r="K66" s="29">
        <v>4190.7839999999997</v>
      </c>
      <c r="L66" s="29">
        <v>0</v>
      </c>
      <c r="M66" s="48">
        <v>25773.734821664792</v>
      </c>
      <c r="N66" s="29">
        <v>0</v>
      </c>
      <c r="O66" s="29">
        <v>-1492.3968321067705</v>
      </c>
      <c r="P66" s="45">
        <f t="shared" si="0"/>
        <v>1274098.7728812152</v>
      </c>
      <c r="R66" s="29">
        <f t="shared" si="1"/>
        <v>1272606.3760491083</v>
      </c>
    </row>
    <row r="67" spans="1:18" x14ac:dyDescent="0.2">
      <c r="A67" s="18" t="s">
        <v>167</v>
      </c>
      <c r="B67" s="19">
        <v>3528</v>
      </c>
      <c r="C67" s="29">
        <v>836741.24513234117</v>
      </c>
      <c r="D67" s="29">
        <v>183682.64330542015</v>
      </c>
      <c r="E67" s="29">
        <v>1749.0555555555557</v>
      </c>
      <c r="F67" s="29">
        <v>0</v>
      </c>
      <c r="G67" s="29">
        <v>44237.625109488952</v>
      </c>
      <c r="H67" s="29">
        <v>19050.000000000011</v>
      </c>
      <c r="I67" s="29">
        <v>100000</v>
      </c>
      <c r="J67" s="29">
        <v>0</v>
      </c>
      <c r="K67" s="29">
        <v>7516.0799999999981</v>
      </c>
      <c r="L67" s="29">
        <v>0</v>
      </c>
      <c r="M67" s="48">
        <v>24970.587277646908</v>
      </c>
      <c r="N67" s="29">
        <v>0</v>
      </c>
      <c r="O67" s="29">
        <v>-31576.741543945711</v>
      </c>
      <c r="P67" s="45">
        <f t="shared" ref="P67:P72" si="2">SUM(C67:O67)</f>
        <v>1186370.4948365071</v>
      </c>
      <c r="R67" s="29">
        <f t="shared" ref="R67:R72" si="3">P67-N67+O67</f>
        <v>1154793.7532925615</v>
      </c>
    </row>
    <row r="68" spans="1:18" x14ac:dyDescent="0.2">
      <c r="A68" s="18" t="s">
        <v>168</v>
      </c>
      <c r="B68" s="19">
        <v>3534</v>
      </c>
      <c r="C68" s="29">
        <v>587186.83868936216</v>
      </c>
      <c r="D68" s="29">
        <v>65585.761580759485</v>
      </c>
      <c r="E68" s="29">
        <v>5055.2542372881362</v>
      </c>
      <c r="F68" s="29">
        <v>0</v>
      </c>
      <c r="G68" s="29">
        <v>22477.978242677822</v>
      </c>
      <c r="H68" s="29">
        <v>5334.0000000000064</v>
      </c>
      <c r="I68" s="29">
        <v>100000</v>
      </c>
      <c r="J68" s="29">
        <v>0</v>
      </c>
      <c r="K68" s="29">
        <v>2528.1359999999986</v>
      </c>
      <c r="L68" s="29">
        <v>0</v>
      </c>
      <c r="M68" s="48">
        <v>17523.219142208356</v>
      </c>
      <c r="N68" s="29">
        <v>0</v>
      </c>
      <c r="O68" s="29">
        <v>0</v>
      </c>
      <c r="P68" s="45">
        <f t="shared" si="2"/>
        <v>805691.18789229589</v>
      </c>
      <c r="R68" s="29">
        <f t="shared" si="3"/>
        <v>805691.18789229589</v>
      </c>
    </row>
    <row r="69" spans="1:18" x14ac:dyDescent="0.2">
      <c r="A69" s="18" t="s">
        <v>169</v>
      </c>
      <c r="B69" s="19">
        <v>3532</v>
      </c>
      <c r="C69" s="29">
        <v>743769.99567319208</v>
      </c>
      <c r="D69" s="29">
        <v>56077.357883109624</v>
      </c>
      <c r="E69" s="29">
        <v>0</v>
      </c>
      <c r="F69" s="29">
        <v>0</v>
      </c>
      <c r="G69" s="29">
        <v>0</v>
      </c>
      <c r="H69" s="29">
        <v>10668.000000000007</v>
      </c>
      <c r="I69" s="29">
        <v>100000</v>
      </c>
      <c r="J69" s="29">
        <v>0</v>
      </c>
      <c r="K69" s="29">
        <v>3894.6959999999999</v>
      </c>
      <c r="L69" s="29">
        <v>0</v>
      </c>
      <c r="M69" s="48">
        <v>22196.077580130586</v>
      </c>
      <c r="N69" s="29">
        <v>16778.997647977085</v>
      </c>
      <c r="O69" s="29">
        <v>0</v>
      </c>
      <c r="P69" s="45">
        <f t="shared" si="2"/>
        <v>953385.1247844093</v>
      </c>
      <c r="R69" s="29">
        <f t="shared" si="3"/>
        <v>936606.12713643222</v>
      </c>
    </row>
    <row r="70" spans="1:18" x14ac:dyDescent="0.2">
      <c r="A70" s="18" t="s">
        <v>112</v>
      </c>
      <c r="B70" s="19">
        <v>3546</v>
      </c>
      <c r="C70" s="29">
        <v>1228199.1375919159</v>
      </c>
      <c r="D70" s="29">
        <v>611722.47863457073</v>
      </c>
      <c r="E70" s="29">
        <v>4990.884</v>
      </c>
      <c r="F70" s="29">
        <v>0</v>
      </c>
      <c r="G70" s="29">
        <v>99781.470163934588</v>
      </c>
      <c r="H70" s="29">
        <v>42672.000000000095</v>
      </c>
      <c r="I70" s="29">
        <v>100000</v>
      </c>
      <c r="J70" s="29">
        <v>0</v>
      </c>
      <c r="K70" s="29">
        <v>15813.823999999993</v>
      </c>
      <c r="L70" s="29">
        <v>0</v>
      </c>
      <c r="M70" s="48">
        <v>36652.73337245248</v>
      </c>
      <c r="N70" s="29">
        <v>65243.322139155585</v>
      </c>
      <c r="O70" s="29">
        <v>0</v>
      </c>
      <c r="P70" s="45">
        <f t="shared" si="2"/>
        <v>2205075.8499020296</v>
      </c>
      <c r="R70" s="29">
        <f t="shared" si="3"/>
        <v>2139832.527762874</v>
      </c>
    </row>
    <row r="71" spans="1:18" x14ac:dyDescent="0.2">
      <c r="A71" s="18" t="s">
        <v>170</v>
      </c>
      <c r="B71" s="19">
        <v>3530</v>
      </c>
      <c r="C71" s="29">
        <v>741323.38384531974</v>
      </c>
      <c r="D71" s="29">
        <v>19695.926877000009</v>
      </c>
      <c r="E71" s="29">
        <v>3438.8424657534247</v>
      </c>
      <c r="F71" s="29">
        <v>0</v>
      </c>
      <c r="G71" s="29">
        <v>2190.7134883720919</v>
      </c>
      <c r="H71" s="29">
        <v>11429.999999999998</v>
      </c>
      <c r="I71" s="29">
        <v>100000</v>
      </c>
      <c r="J71" s="29">
        <v>0</v>
      </c>
      <c r="K71" s="29">
        <v>2482.5839999999989</v>
      </c>
      <c r="L71" s="29">
        <v>0</v>
      </c>
      <c r="M71" s="48">
        <v>22123.06416703805</v>
      </c>
      <c r="N71" s="29">
        <v>485.86040892079473</v>
      </c>
      <c r="O71" s="29">
        <v>0</v>
      </c>
      <c r="P71" s="45">
        <f t="shared" si="2"/>
        <v>903170.37525240413</v>
      </c>
      <c r="R71" s="29">
        <f t="shared" si="3"/>
        <v>902684.51484348334</v>
      </c>
    </row>
    <row r="72" spans="1:18" x14ac:dyDescent="0.2">
      <c r="A72" s="18" t="s">
        <v>114</v>
      </c>
      <c r="B72" s="19">
        <v>2459</v>
      </c>
      <c r="C72" s="29">
        <v>934605.71824723482</v>
      </c>
      <c r="D72" s="29">
        <v>36481.337077401578</v>
      </c>
      <c r="E72" s="29">
        <v>0</v>
      </c>
      <c r="F72" s="29">
        <v>0</v>
      </c>
      <c r="G72" s="29">
        <v>10895.527828746182</v>
      </c>
      <c r="H72" s="29">
        <v>14478.000000000011</v>
      </c>
      <c r="I72" s="29">
        <v>100000</v>
      </c>
      <c r="J72" s="29">
        <v>0</v>
      </c>
      <c r="K72" s="29">
        <v>15004.08</v>
      </c>
      <c r="L72" s="29">
        <v>0</v>
      </c>
      <c r="M72" s="48">
        <v>27891.123801348302</v>
      </c>
      <c r="N72" s="29">
        <v>29457.000355214579</v>
      </c>
      <c r="O72" s="29">
        <v>0</v>
      </c>
      <c r="P72" s="45">
        <f t="shared" si="2"/>
        <v>1168812.7873099453</v>
      </c>
      <c r="R72" s="29">
        <f t="shared" si="3"/>
        <v>1139355.7869547307</v>
      </c>
    </row>
    <row r="73" spans="1:18" x14ac:dyDescent="0.2">
      <c r="A73" s="18"/>
      <c r="B73" s="19"/>
    </row>
    <row r="74" spans="1:18" x14ac:dyDescent="0.2">
      <c r="A74" s="9" t="s">
        <v>171</v>
      </c>
      <c r="B74" s="9" t="s">
        <v>171</v>
      </c>
      <c r="C74" s="45">
        <f>SUM(C2:C73)</f>
        <v>50155542.471383028</v>
      </c>
      <c r="D74" s="45">
        <f t="shared" ref="D74:R74" si="4">SUM(D2:D73)</f>
        <v>13451541.648196232</v>
      </c>
      <c r="E74" s="45">
        <f t="shared" si="4"/>
        <v>89319.730536023853</v>
      </c>
      <c r="F74" s="45">
        <f t="shared" si="4"/>
        <v>0</v>
      </c>
      <c r="G74" s="45">
        <f t="shared" si="4"/>
        <v>2595382.1309067002</v>
      </c>
      <c r="H74" s="45">
        <f t="shared" si="4"/>
        <v>1148133.0650288062</v>
      </c>
      <c r="I74" s="45">
        <f t="shared" si="4"/>
        <v>7100000</v>
      </c>
      <c r="J74" s="45">
        <f t="shared" si="4"/>
        <v>0</v>
      </c>
      <c r="K74" s="45">
        <f t="shared" si="4"/>
        <v>1047153.4438857142</v>
      </c>
      <c r="L74" s="45">
        <f t="shared" si="4"/>
        <v>276005.12384509254</v>
      </c>
      <c r="M74" s="45">
        <f t="shared" si="4"/>
        <v>1496774.968396964</v>
      </c>
      <c r="N74" s="45">
        <f t="shared" si="4"/>
        <v>2255411.678328285</v>
      </c>
      <c r="O74" s="45">
        <f t="shared" si="4"/>
        <v>-159113.11487003643</v>
      </c>
      <c r="P74" s="45">
        <f t="shared" si="4"/>
        <v>79456151.145636827</v>
      </c>
      <c r="R74" s="45">
        <f t="shared" si="4"/>
        <v>77041626.352438509</v>
      </c>
    </row>
    <row r="75" spans="1:18" x14ac:dyDescent="0.2">
      <c r="A75" s="18"/>
      <c r="B75" s="19"/>
    </row>
    <row r="76" spans="1:18" x14ac:dyDescent="0.2">
      <c r="A76" s="18" t="s">
        <v>127</v>
      </c>
      <c r="B76" s="19">
        <v>5402</v>
      </c>
      <c r="C76" s="29">
        <v>4915734.2337735314</v>
      </c>
      <c r="D76" s="29">
        <v>211247.34277839772</v>
      </c>
      <c r="E76" s="29">
        <v>14935.093333333334</v>
      </c>
      <c r="F76" s="29">
        <v>137007.05879053453</v>
      </c>
      <c r="G76" s="29">
        <v>46592.361806069712</v>
      </c>
      <c r="H76" s="29">
        <v>55582.999999999913</v>
      </c>
      <c r="I76" s="29">
        <v>100000</v>
      </c>
      <c r="J76" s="29">
        <v>0</v>
      </c>
      <c r="K76" s="29">
        <v>34847.279999999999</v>
      </c>
      <c r="L76" s="29">
        <v>0</v>
      </c>
      <c r="M76" s="48">
        <v>89377.623185874676</v>
      </c>
      <c r="N76" s="29">
        <v>106386.39276659675</v>
      </c>
      <c r="O76" s="29">
        <v>0</v>
      </c>
      <c r="P76" s="45">
        <f t="shared" ref="P76:P88" si="5">SUM(C76:O76)</f>
        <v>5711710.386434339</v>
      </c>
      <c r="R76" s="29">
        <f t="shared" ref="R76:R88" si="6">P76-N76+O76</f>
        <v>5605323.9936677422</v>
      </c>
    </row>
    <row r="77" spans="1:18" x14ac:dyDescent="0.2">
      <c r="A77" s="18" t="s">
        <v>116</v>
      </c>
      <c r="B77" s="19">
        <v>4608</v>
      </c>
      <c r="C77" s="29">
        <v>2208736.2244200981</v>
      </c>
      <c r="D77" s="29">
        <v>541174.14036000031</v>
      </c>
      <c r="E77" s="29">
        <v>4898.3717532467526</v>
      </c>
      <c r="F77" s="29">
        <v>216015.90781651434</v>
      </c>
      <c r="G77" s="29">
        <v>41080.499999999949</v>
      </c>
      <c r="H77" s="29">
        <v>69927</v>
      </c>
      <c r="I77" s="29">
        <v>100000</v>
      </c>
      <c r="J77" s="29">
        <v>0</v>
      </c>
      <c r="K77" s="29">
        <v>24825.839999999997</v>
      </c>
      <c r="L77" s="29">
        <v>20041.288963504259</v>
      </c>
      <c r="M77" s="48">
        <v>40127.3796404038</v>
      </c>
      <c r="N77" s="29">
        <v>301014.51318517234</v>
      </c>
      <c r="O77" s="29">
        <v>0</v>
      </c>
      <c r="P77" s="45">
        <f t="shared" si="5"/>
        <v>3567841.1661389391</v>
      </c>
      <c r="R77" s="29">
        <f t="shared" si="6"/>
        <v>3266826.6529537668</v>
      </c>
    </row>
    <row r="78" spans="1:18" x14ac:dyDescent="0.2">
      <c r="A78" s="18" t="s">
        <v>172</v>
      </c>
      <c r="B78" s="19">
        <v>4178</v>
      </c>
      <c r="C78" s="29">
        <v>4622346.0005254783</v>
      </c>
      <c r="D78" s="29">
        <v>704407.61225023656</v>
      </c>
      <c r="E78" s="29">
        <v>3421.5101378751019</v>
      </c>
      <c r="F78" s="29">
        <v>339755.72951699432</v>
      </c>
      <c r="G78" s="29">
        <v>133983.60672538014</v>
      </c>
      <c r="H78" s="29">
        <v>123717.00000000003</v>
      </c>
      <c r="I78" s="29">
        <v>100000</v>
      </c>
      <c r="J78" s="29">
        <v>0</v>
      </c>
      <c r="K78" s="29">
        <v>23459.279999999999</v>
      </c>
      <c r="L78" s="29">
        <v>0</v>
      </c>
      <c r="M78" s="48">
        <v>84155.114138771052</v>
      </c>
      <c r="N78" s="29">
        <v>297485.89872664586</v>
      </c>
      <c r="O78" s="29">
        <v>0</v>
      </c>
      <c r="P78" s="45">
        <f t="shared" si="5"/>
        <v>6432731.7520213816</v>
      </c>
      <c r="R78" s="29">
        <f t="shared" si="6"/>
        <v>6135245.8532947358</v>
      </c>
    </row>
    <row r="79" spans="1:18" x14ac:dyDescent="0.2">
      <c r="A79" s="18" t="s">
        <v>118</v>
      </c>
      <c r="B79" s="19">
        <v>4181</v>
      </c>
      <c r="C79" s="29">
        <v>3906951.1527640666</v>
      </c>
      <c r="D79" s="29">
        <v>375884.65073800733</v>
      </c>
      <c r="E79" s="29">
        <v>6646.5485074626868</v>
      </c>
      <c r="F79" s="29">
        <v>263215.14017769054</v>
      </c>
      <c r="G79" s="29">
        <v>35210.057497699985</v>
      </c>
      <c r="H79" s="29">
        <v>92206.71573137067</v>
      </c>
      <c r="I79" s="29">
        <v>100000</v>
      </c>
      <c r="J79" s="29">
        <v>0</v>
      </c>
      <c r="K79" s="29">
        <v>18403.008000000002</v>
      </c>
      <c r="L79" s="29">
        <v>0</v>
      </c>
      <c r="M79" s="48">
        <v>71065.78766628349</v>
      </c>
      <c r="N79" s="29">
        <v>186871.17600819282</v>
      </c>
      <c r="O79" s="29">
        <v>0</v>
      </c>
      <c r="P79" s="45">
        <f t="shared" si="5"/>
        <v>5056454.2370907729</v>
      </c>
      <c r="R79" s="29">
        <f t="shared" si="6"/>
        <v>4869583.0610825801</v>
      </c>
    </row>
    <row r="80" spans="1:18" x14ac:dyDescent="0.2">
      <c r="A80" s="18" t="s">
        <v>119</v>
      </c>
      <c r="B80" s="19">
        <v>4182</v>
      </c>
      <c r="C80" s="29">
        <v>4814773.0781921158</v>
      </c>
      <c r="D80" s="29">
        <v>173501.80096087483</v>
      </c>
      <c r="E80" s="29">
        <v>15164.406896551725</v>
      </c>
      <c r="F80" s="29">
        <v>170819.59206212242</v>
      </c>
      <c r="G80" s="29">
        <v>85220.803252647645</v>
      </c>
      <c r="H80" s="29">
        <v>60962.000000000087</v>
      </c>
      <c r="I80" s="29">
        <v>100000</v>
      </c>
      <c r="J80" s="29">
        <v>0</v>
      </c>
      <c r="K80" s="29">
        <v>96216.639999999999</v>
      </c>
      <c r="L80" s="29">
        <v>0</v>
      </c>
      <c r="M80" s="48">
        <v>87724.930449449486</v>
      </c>
      <c r="N80" s="29">
        <v>191877.7208894724</v>
      </c>
      <c r="O80" s="29">
        <v>0</v>
      </c>
      <c r="P80" s="45">
        <f t="shared" si="5"/>
        <v>5796260.9727032343</v>
      </c>
      <c r="R80" s="29">
        <f t="shared" si="6"/>
        <v>5604383.2518137619</v>
      </c>
    </row>
    <row r="81" spans="1:18" x14ac:dyDescent="0.2">
      <c r="A81" s="18" t="s">
        <v>120</v>
      </c>
      <c r="B81" s="221">
        <v>4001</v>
      </c>
      <c r="C81" s="29">
        <v>3012079.0854295664</v>
      </c>
      <c r="D81" s="29">
        <v>805799.72304219007</v>
      </c>
      <c r="E81" s="29">
        <v>10950.197488584474</v>
      </c>
      <c r="F81" s="29">
        <v>418531.57123473549</v>
      </c>
      <c r="G81" s="29">
        <v>106938.60907990305</v>
      </c>
      <c r="H81" s="29">
        <v>123716.99999999997</v>
      </c>
      <c r="I81" s="29">
        <v>100000</v>
      </c>
      <c r="J81" s="29">
        <v>0</v>
      </c>
      <c r="K81" s="29">
        <v>52840.319999999978</v>
      </c>
      <c r="L81" s="29">
        <v>307207.079384004</v>
      </c>
      <c r="M81" s="48">
        <v>54671.075720945533</v>
      </c>
      <c r="N81" s="29">
        <v>0</v>
      </c>
      <c r="O81" s="29">
        <v>-52820.75842239098</v>
      </c>
      <c r="P81" s="45">
        <f t="shared" si="5"/>
        <v>4939913.9029575381</v>
      </c>
      <c r="R81" s="29">
        <f t="shared" si="6"/>
        <v>4887093.1445351476</v>
      </c>
    </row>
    <row r="82" spans="1:18" x14ac:dyDescent="0.2">
      <c r="A82" s="18" t="s">
        <v>173</v>
      </c>
      <c r="B82" s="19">
        <v>5406</v>
      </c>
      <c r="C82" s="29">
        <v>3314959.6623302344</v>
      </c>
      <c r="D82" s="29">
        <v>419704.782405579</v>
      </c>
      <c r="E82" s="29">
        <v>8106.6361679224974</v>
      </c>
      <c r="F82" s="29">
        <v>234399.72266666737</v>
      </c>
      <c r="G82" s="29">
        <v>52614.113125695178</v>
      </c>
      <c r="H82" s="29">
        <v>109373</v>
      </c>
      <c r="I82" s="29">
        <v>100000</v>
      </c>
      <c r="J82" s="29">
        <v>0</v>
      </c>
      <c r="K82" s="29">
        <v>23231.51999999999</v>
      </c>
      <c r="L82" s="29">
        <v>0</v>
      </c>
      <c r="M82" s="48">
        <v>60091.907896420176</v>
      </c>
      <c r="N82" s="29">
        <v>45525.694952796679</v>
      </c>
      <c r="O82" s="29">
        <v>0</v>
      </c>
      <c r="P82" s="45">
        <f t="shared" si="5"/>
        <v>4368007.0395453144</v>
      </c>
      <c r="R82" s="29">
        <f t="shared" si="6"/>
        <v>4322481.3445925172</v>
      </c>
    </row>
    <row r="83" spans="1:18" x14ac:dyDescent="0.2">
      <c r="A83" s="18" t="s">
        <v>174</v>
      </c>
      <c r="B83" s="19">
        <v>5407</v>
      </c>
      <c r="C83" s="29">
        <v>3576850.5601710211</v>
      </c>
      <c r="D83" s="29">
        <v>606648.27895523887</v>
      </c>
      <c r="E83" s="29">
        <v>4896.4350000000004</v>
      </c>
      <c r="F83" s="29">
        <v>322128.19045505073</v>
      </c>
      <c r="G83" s="29">
        <v>60251.400000000103</v>
      </c>
      <c r="H83" s="29">
        <v>163163.00000000009</v>
      </c>
      <c r="I83" s="29">
        <v>100000</v>
      </c>
      <c r="J83" s="29">
        <v>0</v>
      </c>
      <c r="K83" s="29">
        <v>25281.360000000001</v>
      </c>
      <c r="L83" s="29">
        <v>369497.7244444337</v>
      </c>
      <c r="M83" s="48">
        <v>65116.093815152781</v>
      </c>
      <c r="N83" s="29">
        <v>0</v>
      </c>
      <c r="O83" s="29">
        <v>-165930</v>
      </c>
      <c r="P83" s="45">
        <f t="shared" si="5"/>
        <v>5127903.042840898</v>
      </c>
      <c r="R83" s="29">
        <f t="shared" si="6"/>
        <v>4961973.042840898</v>
      </c>
    </row>
    <row r="84" spans="1:18" x14ac:dyDescent="0.2">
      <c r="A84" s="18" t="s">
        <v>123</v>
      </c>
      <c r="B84" s="19">
        <v>4607</v>
      </c>
      <c r="C84" s="29">
        <v>4262071.2618740248</v>
      </c>
      <c r="D84" s="29">
        <v>616185.50452767685</v>
      </c>
      <c r="E84" s="29">
        <v>14480.918046357616</v>
      </c>
      <c r="F84" s="29">
        <v>301137.81946902699</v>
      </c>
      <c r="G84" s="29">
        <v>91785.574285714378</v>
      </c>
      <c r="H84" s="29">
        <v>83067.128571428504</v>
      </c>
      <c r="I84" s="29">
        <v>100000</v>
      </c>
      <c r="J84" s="29">
        <v>19329.921551105632</v>
      </c>
      <c r="K84" s="29">
        <v>26875.679999999993</v>
      </c>
      <c r="L84" s="29">
        <v>0</v>
      </c>
      <c r="M84" s="48">
        <v>77544.343193070265</v>
      </c>
      <c r="N84" s="29">
        <v>32308.673044790514</v>
      </c>
      <c r="O84" s="29">
        <v>0</v>
      </c>
      <c r="P84" s="45">
        <f t="shared" si="5"/>
        <v>5624786.824563195</v>
      </c>
      <c r="R84" s="29">
        <f t="shared" si="6"/>
        <v>5592478.1515184045</v>
      </c>
    </row>
    <row r="85" spans="1:18" x14ac:dyDescent="0.2">
      <c r="A85" s="18" t="s">
        <v>124</v>
      </c>
      <c r="B85" s="221">
        <v>4002</v>
      </c>
      <c r="C85" s="29">
        <v>3064948.570193381</v>
      </c>
      <c r="D85" s="29">
        <v>591549.70276989229</v>
      </c>
      <c r="E85" s="29">
        <v>10886.212290502794</v>
      </c>
      <c r="F85" s="29">
        <v>382772.72036199109</v>
      </c>
      <c r="G85" s="29">
        <v>180754.20000000007</v>
      </c>
      <c r="H85" s="29">
        <v>118338.00000000006</v>
      </c>
      <c r="I85" s="29">
        <v>100000</v>
      </c>
      <c r="J85" s="29">
        <v>0</v>
      </c>
      <c r="K85" s="29">
        <v>17309.759999999995</v>
      </c>
      <c r="L85" s="29">
        <v>0</v>
      </c>
      <c r="M85" s="48">
        <v>55530.475943886631</v>
      </c>
      <c r="N85" s="29">
        <v>46704.739404797554</v>
      </c>
      <c r="O85" s="29">
        <v>0</v>
      </c>
      <c r="P85" s="45">
        <f t="shared" si="5"/>
        <v>4568794.3809644515</v>
      </c>
      <c r="R85" s="29">
        <f t="shared" si="6"/>
        <v>4522089.6415596539</v>
      </c>
    </row>
    <row r="86" spans="1:18" x14ac:dyDescent="0.2">
      <c r="A86" s="18" t="s">
        <v>175</v>
      </c>
      <c r="B86" s="19">
        <v>4177</v>
      </c>
      <c r="C86" s="29">
        <v>2074899.9293734846</v>
      </c>
      <c r="D86" s="29">
        <v>451669.66558449244</v>
      </c>
      <c r="E86" s="29">
        <v>7258.9938080495358</v>
      </c>
      <c r="F86" s="29">
        <v>383834.44363636401</v>
      </c>
      <c r="G86" s="29">
        <v>215577.40529801289</v>
      </c>
      <c r="H86" s="29">
        <v>127694.84768211878</v>
      </c>
      <c r="I86" s="29">
        <v>100000</v>
      </c>
      <c r="J86" s="29">
        <v>0</v>
      </c>
      <c r="K86" s="29">
        <v>18220.800000000003</v>
      </c>
      <c r="L86" s="29">
        <v>0</v>
      </c>
      <c r="M86" s="48">
        <v>37416.963552666472</v>
      </c>
      <c r="N86" s="29">
        <v>210362.07167331222</v>
      </c>
      <c r="O86" s="29">
        <v>0</v>
      </c>
      <c r="P86" s="45">
        <f t="shared" si="5"/>
        <v>3626935.1206085007</v>
      </c>
      <c r="R86" s="29">
        <f t="shared" si="6"/>
        <v>3416573.0489351884</v>
      </c>
    </row>
    <row r="87" spans="1:18" x14ac:dyDescent="0.2">
      <c r="A87" s="18" t="s">
        <v>126</v>
      </c>
      <c r="B87" s="19">
        <v>5412</v>
      </c>
      <c r="C87" s="29">
        <v>4679426.630920792</v>
      </c>
      <c r="D87" s="29">
        <v>374914.0539800002</v>
      </c>
      <c r="E87" s="29">
        <v>10066.958366064417</v>
      </c>
      <c r="F87" s="29">
        <v>187034.2167076167</v>
      </c>
      <c r="G87" s="29">
        <v>24705.799922239516</v>
      </c>
      <c r="H87" s="29">
        <v>44824.999999999913</v>
      </c>
      <c r="I87" s="29">
        <v>100000</v>
      </c>
      <c r="J87" s="29">
        <v>0</v>
      </c>
      <c r="K87" s="29">
        <v>19405.152000000002</v>
      </c>
      <c r="L87" s="29">
        <v>0</v>
      </c>
      <c r="M87" s="48">
        <v>85212.837490083184</v>
      </c>
      <c r="N87" s="29">
        <v>150890.72027811687</v>
      </c>
      <c r="O87" s="29">
        <v>0</v>
      </c>
      <c r="P87" s="45">
        <f t="shared" si="5"/>
        <v>5676481.369664914</v>
      </c>
      <c r="R87" s="29">
        <f t="shared" si="6"/>
        <v>5525590.6493867971</v>
      </c>
    </row>
    <row r="88" spans="1:18" x14ac:dyDescent="0.2">
      <c r="A88" s="18" t="s">
        <v>125</v>
      </c>
      <c r="B88" s="19">
        <v>5414</v>
      </c>
      <c r="C88" s="29">
        <v>3732188.4628973817</v>
      </c>
      <c r="D88" s="29">
        <v>221376.8344152373</v>
      </c>
      <c r="E88" s="29">
        <v>1655.3881322957197</v>
      </c>
      <c r="F88" s="29">
        <v>97783.075072141975</v>
      </c>
      <c r="G88" s="29">
        <v>32578.898455598501</v>
      </c>
      <c r="H88" s="29">
        <v>67347.081809432202</v>
      </c>
      <c r="I88" s="29">
        <v>100000</v>
      </c>
      <c r="J88" s="29">
        <v>0</v>
      </c>
      <c r="K88" s="29">
        <v>22502.687999999995</v>
      </c>
      <c r="L88" s="29">
        <v>0</v>
      </c>
      <c r="M88" s="48">
        <v>67892.617612347109</v>
      </c>
      <c r="N88" s="29">
        <v>185603.53137165122</v>
      </c>
      <c r="O88" s="29">
        <v>0</v>
      </c>
      <c r="P88" s="45">
        <f t="shared" si="5"/>
        <v>4528928.577766086</v>
      </c>
      <c r="R88" s="29">
        <f t="shared" si="6"/>
        <v>4343325.0463944348</v>
      </c>
    </row>
    <row r="89" spans="1:18" x14ac:dyDescent="0.2">
      <c r="A89" s="18"/>
      <c r="B89" s="19"/>
    </row>
    <row r="90" spans="1:18" x14ac:dyDescent="0.2">
      <c r="A90" s="9" t="s">
        <v>176</v>
      </c>
      <c r="B90" s="9" t="s">
        <v>176</v>
      </c>
      <c r="C90" s="45">
        <f>SUM(C76:C89)</f>
        <v>48185964.852865182</v>
      </c>
      <c r="D90" s="45">
        <f t="shared" ref="D90:R90" si="7">SUM(D76:D89)</f>
        <v>6094064.0927678235</v>
      </c>
      <c r="E90" s="45">
        <f t="shared" si="7"/>
        <v>113367.66992824666</v>
      </c>
      <c r="F90" s="45">
        <f t="shared" si="7"/>
        <v>3454435.1879674499</v>
      </c>
      <c r="G90" s="45">
        <f t="shared" si="7"/>
        <v>1107293.3294489612</v>
      </c>
      <c r="H90" s="45">
        <f t="shared" si="7"/>
        <v>1239920.7737943504</v>
      </c>
      <c r="I90" s="45">
        <f t="shared" si="7"/>
        <v>1300000</v>
      </c>
      <c r="J90" s="45">
        <f t="shared" si="7"/>
        <v>19329.921551105632</v>
      </c>
      <c r="K90" s="45">
        <f t="shared" si="7"/>
        <v>403419.32799999998</v>
      </c>
      <c r="L90" s="45">
        <f t="shared" si="7"/>
        <v>696746.09279194195</v>
      </c>
      <c r="M90" s="45">
        <f t="shared" si="7"/>
        <v>875927.15030535473</v>
      </c>
      <c r="N90" s="45">
        <f t="shared" si="7"/>
        <v>1755031.1323015452</v>
      </c>
      <c r="O90" s="45">
        <f t="shared" si="7"/>
        <v>-218750.75842239097</v>
      </c>
      <c r="P90" s="45">
        <f t="shared" si="7"/>
        <v>65026748.77329956</v>
      </c>
      <c r="R90" s="45">
        <f t="shared" si="7"/>
        <v>63052966.882575631</v>
      </c>
    </row>
    <row r="91" spans="1:18" x14ac:dyDescent="0.2">
      <c r="A91" s="18"/>
      <c r="B91" s="19"/>
    </row>
    <row r="92" spans="1:18" x14ac:dyDescent="0.2">
      <c r="A92" s="9" t="s">
        <v>177</v>
      </c>
      <c r="B92" s="9" t="s">
        <v>178</v>
      </c>
      <c r="C92" s="45">
        <f>SUM(C90+C74)</f>
        <v>98341507.32424821</v>
      </c>
      <c r="D92" s="45">
        <f t="shared" ref="D92:R92" si="8">SUM(D90+D74)</f>
        <v>19545605.740964055</v>
      </c>
      <c r="E92" s="45">
        <f t="shared" si="8"/>
        <v>202687.4004642705</v>
      </c>
      <c r="F92" s="45">
        <f t="shared" si="8"/>
        <v>3454435.1879674499</v>
      </c>
      <c r="G92" s="45">
        <f t="shared" si="8"/>
        <v>3702675.4603556613</v>
      </c>
      <c r="H92" s="45">
        <f t="shared" si="8"/>
        <v>2388053.8388231564</v>
      </c>
      <c r="I92" s="45">
        <f t="shared" si="8"/>
        <v>8400000</v>
      </c>
      <c r="J92" s="45">
        <f t="shared" si="8"/>
        <v>19329.921551105632</v>
      </c>
      <c r="K92" s="45">
        <f t="shared" si="8"/>
        <v>1450572.771885714</v>
      </c>
      <c r="L92" s="45">
        <f t="shared" si="8"/>
        <v>972751.21663703443</v>
      </c>
      <c r="M92" s="45">
        <f t="shared" si="8"/>
        <v>2372702.1187023185</v>
      </c>
      <c r="N92" s="45">
        <f t="shared" si="8"/>
        <v>4010442.8106298302</v>
      </c>
      <c r="O92" s="45">
        <f t="shared" si="8"/>
        <v>-377863.87329242739</v>
      </c>
      <c r="P92" s="45">
        <f t="shared" si="8"/>
        <v>144482899.91893637</v>
      </c>
      <c r="R92" s="45">
        <f t="shared" si="8"/>
        <v>140094593.23501414</v>
      </c>
    </row>
  </sheetData>
  <sheetProtection password="EF5C" sheet="1" objects="1" scenarios="1" selectLockedCells="1" selectUnlockedCells="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sheetPr>
  <dimension ref="B1:AP703"/>
  <sheetViews>
    <sheetView showGridLines="0" zoomScale="75" zoomScaleNormal="75" workbookViewId="0">
      <pane xSplit="5" ySplit="17" topLeftCell="F97" activePane="bottomRight" state="frozen"/>
      <selection activeCell="B61" sqref="B61"/>
      <selection pane="topRight" activeCell="B61" sqref="B61"/>
      <selection pane="bottomLeft" activeCell="B61" sqref="B61"/>
      <selection pane="bottomRight" sqref="A1:XFD1048576"/>
    </sheetView>
  </sheetViews>
  <sheetFormatPr defaultRowHeight="12.75" x14ac:dyDescent="0.2"/>
  <cols>
    <col min="1" max="1" width="3.140625" style="49" customWidth="1"/>
    <col min="2" max="2" width="13" style="49" customWidth="1"/>
    <col min="3" max="3" width="31.140625" style="49" customWidth="1"/>
    <col min="4" max="4" width="18.85546875" style="49" customWidth="1"/>
    <col min="5" max="5" width="34.140625" style="49" customWidth="1"/>
    <col min="6" max="6" width="42" style="50" customWidth="1"/>
    <col min="7" max="7" width="21.85546875" style="49" customWidth="1"/>
    <col min="8" max="8" width="17.42578125" style="49" customWidth="1"/>
    <col min="9" max="9" width="18.85546875" style="49" customWidth="1"/>
    <col min="10" max="10" width="16.85546875" style="49" customWidth="1"/>
    <col min="11" max="11" width="33.42578125" style="51" customWidth="1"/>
    <col min="12" max="12" width="3.140625" style="59" bestFit="1" customWidth="1"/>
    <col min="13" max="13" width="17.7109375" style="49" customWidth="1"/>
    <col min="14" max="15" width="16.42578125" style="49" bestFit="1" customWidth="1"/>
    <col min="16" max="16" width="15.85546875" style="49" customWidth="1"/>
    <col min="17" max="17" width="4" style="53" customWidth="1"/>
    <col min="18" max="18" width="17.28515625" style="49" customWidth="1"/>
    <col min="19" max="19" width="12" style="49" customWidth="1"/>
    <col min="20" max="20" width="12.28515625" style="49" customWidth="1"/>
    <col min="21" max="21" width="20.85546875" style="49" customWidth="1"/>
    <col min="22" max="22" width="19.140625" style="49" customWidth="1"/>
    <col min="23" max="23" width="17.28515625" style="49" customWidth="1"/>
    <col min="24" max="24" width="17.7109375" style="49" customWidth="1"/>
    <col min="25" max="25" width="9.140625" style="54"/>
    <col min="26" max="26" width="15.28515625" style="49" customWidth="1"/>
    <col min="27" max="28" width="9.140625" style="49"/>
    <col min="29" max="29" width="10.7109375" style="49" bestFit="1" customWidth="1"/>
    <col min="30" max="30" width="9.140625" style="49"/>
    <col min="31" max="31" width="11.140625" style="49" bestFit="1" customWidth="1"/>
    <col min="32" max="33" width="9.140625" style="141"/>
    <col min="34" max="35" width="9.140625" style="49"/>
    <col min="36" max="36" width="13.85546875" style="141" customWidth="1"/>
    <col min="37" max="37" width="12" style="141" customWidth="1"/>
    <col min="38" max="38" width="9.140625" style="49"/>
    <col min="39" max="39" width="11.28515625" style="49" customWidth="1"/>
    <col min="40" max="40" width="9.140625" style="49"/>
    <col min="41" max="41" width="17.5703125" style="49" customWidth="1"/>
    <col min="42" max="16384" width="9.140625" style="49"/>
  </cols>
  <sheetData>
    <row r="1" spans="2:39" x14ac:dyDescent="0.2">
      <c r="L1" s="52">
        <v>0</v>
      </c>
      <c r="S1" s="54" t="s">
        <v>2</v>
      </c>
      <c r="T1" s="54"/>
      <c r="AF1" s="49"/>
      <c r="AG1" s="49"/>
      <c r="AJ1" s="49"/>
      <c r="AK1" s="49"/>
    </row>
    <row r="2" spans="2:39" ht="18" x14ac:dyDescent="0.25">
      <c r="B2" s="55" t="s">
        <v>3</v>
      </c>
      <c r="C2" s="56"/>
      <c r="E2" s="56"/>
      <c r="F2" s="57" t="s">
        <v>4</v>
      </c>
      <c r="J2" s="58"/>
      <c r="O2" s="60" t="s">
        <v>5</v>
      </c>
      <c r="S2" s="54"/>
      <c r="T2" s="54"/>
      <c r="AF2" s="49"/>
      <c r="AG2" s="49"/>
      <c r="AJ2" s="49"/>
      <c r="AK2" s="49"/>
    </row>
    <row r="3" spans="2:39" ht="15.75" customHeight="1" x14ac:dyDescent="0.2">
      <c r="F3" s="61" t="s">
        <v>6</v>
      </c>
      <c r="O3" s="60" t="s">
        <v>7</v>
      </c>
      <c r="AF3" s="49"/>
      <c r="AG3" s="49"/>
      <c r="AJ3" s="49"/>
      <c r="AK3" s="49"/>
    </row>
    <row r="4" spans="2:39" ht="15.75" x14ac:dyDescent="0.25">
      <c r="B4" s="56" t="s">
        <v>8</v>
      </c>
      <c r="C4" s="62"/>
      <c r="E4" s="62"/>
      <c r="F4" s="63" t="s">
        <v>9</v>
      </c>
      <c r="G4" s="64"/>
      <c r="I4" s="1255" t="s">
        <v>10</v>
      </c>
      <c r="J4" s="1255"/>
      <c r="K4" s="1255"/>
      <c r="O4" s="60"/>
      <c r="AF4" s="49"/>
      <c r="AG4" s="49"/>
      <c r="AJ4" s="49"/>
      <c r="AK4" s="49"/>
    </row>
    <row r="5" spans="2:39" ht="15" customHeight="1" thickBot="1" x14ac:dyDescent="0.3">
      <c r="B5" s="65" t="s">
        <v>11</v>
      </c>
      <c r="F5" s="66"/>
      <c r="G5" s="67" t="s">
        <v>244</v>
      </c>
      <c r="I5" s="1256" t="s">
        <v>12</v>
      </c>
      <c r="J5" s="1256"/>
      <c r="K5" s="1256"/>
      <c r="AF5" s="49"/>
      <c r="AG5" s="49"/>
      <c r="AJ5" s="49"/>
      <c r="AK5" s="49"/>
    </row>
    <row r="6" spans="2:39" ht="17.25" customHeight="1" x14ac:dyDescent="0.25">
      <c r="B6" s="68" t="s">
        <v>13</v>
      </c>
      <c r="C6" s="62"/>
      <c r="E6" s="62"/>
      <c r="F6" s="69" t="s">
        <v>14</v>
      </c>
      <c r="G6" s="70">
        <v>-1.4999999999999999E-2</v>
      </c>
      <c r="I6" s="1256"/>
      <c r="J6" s="1256"/>
      <c r="K6" s="1256"/>
      <c r="AF6" s="49"/>
      <c r="AG6" s="49"/>
      <c r="AJ6" s="49"/>
      <c r="AK6" s="49"/>
    </row>
    <row r="7" spans="2:39" ht="17.25" customHeight="1" x14ac:dyDescent="0.2">
      <c r="B7" s="68" t="s">
        <v>15</v>
      </c>
      <c r="C7" s="62"/>
      <c r="E7" s="62"/>
      <c r="F7" s="71" t="s">
        <v>16</v>
      </c>
      <c r="G7" s="72">
        <v>1</v>
      </c>
      <c r="I7" s="1256"/>
      <c r="J7" s="1256"/>
      <c r="K7" s="1256"/>
      <c r="AF7" s="49"/>
      <c r="AG7" s="49"/>
      <c r="AJ7" s="49"/>
      <c r="AK7" s="49"/>
    </row>
    <row r="8" spans="2:39" ht="17.25" customHeight="1" thickBot="1" x14ac:dyDescent="0.25">
      <c r="B8" s="68" t="s">
        <v>17</v>
      </c>
      <c r="C8" s="62"/>
      <c r="E8" s="62"/>
      <c r="F8" s="73" t="s">
        <v>18</v>
      </c>
      <c r="G8" s="74">
        <v>1</v>
      </c>
      <c r="I8" s="1256"/>
      <c r="J8" s="1256"/>
      <c r="K8" s="1256"/>
      <c r="AF8" s="49"/>
      <c r="AG8" s="49"/>
      <c r="AJ8" s="49"/>
      <c r="AK8" s="49"/>
    </row>
    <row r="9" spans="2:39" ht="17.25" customHeight="1" x14ac:dyDescent="0.2">
      <c r="B9" s="68" t="s">
        <v>19</v>
      </c>
      <c r="C9" s="62"/>
      <c r="E9" s="62"/>
      <c r="F9" s="75"/>
      <c r="G9" s="76"/>
      <c r="I9" s="1256"/>
      <c r="J9" s="1256"/>
      <c r="K9" s="1256"/>
      <c r="Z9" s="53"/>
      <c r="AA9" s="53"/>
      <c r="AB9" s="53"/>
      <c r="AC9" s="53"/>
      <c r="AD9" s="53"/>
      <c r="AE9" s="53"/>
      <c r="AF9" s="49"/>
      <c r="AG9" s="49"/>
      <c r="AJ9" s="49"/>
      <c r="AK9" s="49"/>
    </row>
    <row r="10" spans="2:39" ht="17.25" customHeight="1" x14ac:dyDescent="0.2">
      <c r="B10" s="68" t="s">
        <v>20</v>
      </c>
      <c r="C10" s="62"/>
      <c r="E10" s="62"/>
      <c r="F10" s="75"/>
      <c r="G10" s="76"/>
      <c r="I10" s="1256"/>
      <c r="J10" s="1256"/>
      <c r="K10" s="1256"/>
      <c r="Z10" s="53"/>
      <c r="AA10" s="53"/>
      <c r="AB10" s="53"/>
      <c r="AC10" s="53"/>
      <c r="AD10" s="53"/>
      <c r="AE10" s="53"/>
      <c r="AF10" s="49"/>
      <c r="AG10" s="49"/>
      <c r="AJ10" s="49"/>
      <c r="AK10" s="49"/>
    </row>
    <row r="11" spans="2:39" ht="17.25" customHeight="1" x14ac:dyDescent="0.2">
      <c r="B11" s="68" t="s">
        <v>21</v>
      </c>
      <c r="C11" s="62"/>
      <c r="E11" s="62"/>
      <c r="F11" s="66"/>
      <c r="I11" s="1256"/>
      <c r="J11" s="1256"/>
      <c r="K11" s="1256"/>
      <c r="Z11" s="53"/>
      <c r="AA11" s="53"/>
      <c r="AB11" s="53"/>
      <c r="AC11" s="53"/>
      <c r="AD11" s="53"/>
      <c r="AE11" s="53"/>
      <c r="AF11" s="49"/>
      <c r="AG11" s="49"/>
      <c r="AJ11" s="49"/>
      <c r="AK11" s="49"/>
    </row>
    <row r="12" spans="2:39" ht="17.25" customHeight="1" x14ac:dyDescent="0.2">
      <c r="B12" s="68"/>
      <c r="C12" s="62"/>
      <c r="D12" s="76"/>
      <c r="E12" s="62"/>
      <c r="G12" s="77"/>
      <c r="H12" s="78"/>
      <c r="J12" s="79"/>
      <c r="K12" s="80"/>
      <c r="Z12" s="53"/>
      <c r="AA12" s="53"/>
      <c r="AB12" s="53"/>
      <c r="AC12" s="53"/>
      <c r="AD12" s="53"/>
      <c r="AE12" s="53"/>
      <c r="AF12" s="49"/>
      <c r="AG12" s="49"/>
      <c r="AJ12" s="49"/>
      <c r="AK12" s="49"/>
    </row>
    <row r="13" spans="2:39" ht="17.25" customHeight="1" x14ac:dyDescent="0.25">
      <c r="B13" s="68"/>
      <c r="C13" s="62"/>
      <c r="E13" s="62"/>
      <c r="J13" s="79"/>
      <c r="K13" s="1257"/>
      <c r="L13" s="1258"/>
      <c r="M13" s="1258"/>
      <c r="N13" s="1258"/>
      <c r="Z13" s="53"/>
      <c r="AA13" s="53"/>
      <c r="AB13" s="53"/>
      <c r="AC13" s="53"/>
      <c r="AD13" s="53"/>
      <c r="AE13" s="53"/>
      <c r="AF13" s="49"/>
      <c r="AG13" s="49"/>
      <c r="AJ13" s="49"/>
      <c r="AK13" s="49"/>
    </row>
    <row r="14" spans="2:39" ht="15" x14ac:dyDescent="0.2">
      <c r="B14" s="65"/>
      <c r="C14" s="62"/>
      <c r="E14" s="62"/>
      <c r="J14" s="81"/>
      <c r="K14" s="81">
        <v>9</v>
      </c>
      <c r="Z14" s="53"/>
      <c r="AA14" s="53"/>
      <c r="AB14" s="53"/>
      <c r="AC14" s="53"/>
      <c r="AD14" s="53"/>
      <c r="AE14" s="53"/>
      <c r="AF14" s="49"/>
      <c r="AG14" s="49"/>
      <c r="AJ14" s="49"/>
      <c r="AK14" s="49"/>
    </row>
    <row r="15" spans="2:39" ht="16.5" thickBot="1" x14ac:dyDescent="0.3">
      <c r="D15" s="82" t="s">
        <v>244</v>
      </c>
      <c r="E15" s="83">
        <v>98</v>
      </c>
      <c r="F15" s="84" t="s">
        <v>244</v>
      </c>
      <c r="G15" s="85"/>
      <c r="I15" s="86" t="s">
        <v>245</v>
      </c>
      <c r="J15" s="54">
        <v>9</v>
      </c>
      <c r="K15" s="87" t="s">
        <v>244</v>
      </c>
      <c r="L15" s="88">
        <v>0</v>
      </c>
      <c r="M15" s="64"/>
      <c r="O15" s="89"/>
      <c r="R15" s="86" t="s">
        <v>244</v>
      </c>
      <c r="S15" s="90" t="s">
        <v>244</v>
      </c>
      <c r="T15" s="86"/>
      <c r="Z15" s="53"/>
      <c r="AA15" s="53"/>
      <c r="AB15" s="53"/>
      <c r="AC15" s="53"/>
      <c r="AD15" s="53"/>
      <c r="AE15" s="53"/>
      <c r="AF15" s="49"/>
      <c r="AG15" s="49"/>
      <c r="AJ15" s="49"/>
      <c r="AK15" s="49"/>
    </row>
    <row r="16" spans="2:39" ht="16.5" thickBot="1" x14ac:dyDescent="0.3">
      <c r="D16" s="1259" t="s">
        <v>22</v>
      </c>
      <c r="E16" s="1260"/>
      <c r="F16" s="1260"/>
      <c r="G16" s="1252" t="s">
        <v>23</v>
      </c>
      <c r="H16" s="1261"/>
      <c r="I16" s="1259" t="s">
        <v>24</v>
      </c>
      <c r="J16" s="1262"/>
      <c r="K16" s="1263"/>
      <c r="L16" s="91"/>
      <c r="M16" s="1252" t="s">
        <v>25</v>
      </c>
      <c r="N16" s="1253"/>
      <c r="O16" s="1253"/>
      <c r="P16" s="1264"/>
      <c r="Q16" s="92"/>
      <c r="R16" s="1252" t="s">
        <v>229</v>
      </c>
      <c r="S16" s="1253"/>
      <c r="T16" s="1253"/>
      <c r="U16" s="1253"/>
      <c r="V16" s="1253"/>
      <c r="W16" s="1253"/>
      <c r="X16" s="1254"/>
      <c r="Z16" s="53"/>
      <c r="AA16" s="53"/>
      <c r="AB16" s="53"/>
      <c r="AC16" s="53"/>
      <c r="AD16" s="53"/>
      <c r="AE16" s="53"/>
      <c r="AF16" s="49" t="s">
        <v>250</v>
      </c>
      <c r="AG16" s="49"/>
      <c r="AJ16" s="49"/>
      <c r="AK16" s="49"/>
      <c r="AL16" s="49" t="s">
        <v>249</v>
      </c>
      <c r="AM16" s="49" t="s">
        <v>249</v>
      </c>
    </row>
    <row r="17" spans="2:42" s="109" customFormat="1" ht="105" customHeight="1" thickBot="1" x14ac:dyDescent="0.3">
      <c r="B17" s="93" t="s">
        <v>0</v>
      </c>
      <c r="C17" s="94" t="s">
        <v>1</v>
      </c>
      <c r="D17" s="95" t="s">
        <v>230</v>
      </c>
      <c r="E17" s="96" t="s">
        <v>26</v>
      </c>
      <c r="F17" s="97" t="s">
        <v>231</v>
      </c>
      <c r="G17" s="96" t="s">
        <v>232</v>
      </c>
      <c r="H17" s="96" t="s">
        <v>233</v>
      </c>
      <c r="I17" s="98" t="s">
        <v>234</v>
      </c>
      <c r="J17" s="95" t="s">
        <v>27</v>
      </c>
      <c r="K17" s="99" t="s">
        <v>28</v>
      </c>
      <c r="L17" s="100"/>
      <c r="M17" s="101" t="s">
        <v>246</v>
      </c>
      <c r="N17" s="101" t="s">
        <v>29</v>
      </c>
      <c r="O17" s="101" t="s">
        <v>30</v>
      </c>
      <c r="P17" s="101" t="s">
        <v>235</v>
      </c>
      <c r="Q17" s="102"/>
      <c r="R17" s="103" t="s">
        <v>236</v>
      </c>
      <c r="S17" s="103" t="s">
        <v>237</v>
      </c>
      <c r="T17" s="103" t="s">
        <v>31</v>
      </c>
      <c r="U17" s="103" t="s">
        <v>238</v>
      </c>
      <c r="V17" s="103" t="s">
        <v>239</v>
      </c>
      <c r="W17" s="103" t="s">
        <v>240</v>
      </c>
      <c r="X17" s="103" t="s">
        <v>241</v>
      </c>
      <c r="Y17" s="104"/>
      <c r="Z17" s="105"/>
      <c r="AA17" s="105"/>
      <c r="AB17" s="105"/>
      <c r="AC17" s="105"/>
      <c r="AD17" s="106" t="s">
        <v>223</v>
      </c>
      <c r="AE17" s="106"/>
      <c r="AF17" s="107" t="s">
        <v>242</v>
      </c>
      <c r="AG17" s="107" t="s">
        <v>243</v>
      </c>
      <c r="AH17" s="108"/>
      <c r="AI17" s="108"/>
      <c r="AJ17" s="106" t="s">
        <v>223</v>
      </c>
      <c r="AK17" s="106"/>
      <c r="AL17" s="107" t="s">
        <v>242</v>
      </c>
      <c r="AM17" s="107" t="s">
        <v>243</v>
      </c>
      <c r="AO17" s="110"/>
    </row>
    <row r="18" spans="2:42" s="79" customFormat="1" ht="15.75" x14ac:dyDescent="0.25">
      <c r="B18" s="111">
        <v>9993000</v>
      </c>
      <c r="C18" s="112" t="s">
        <v>32</v>
      </c>
      <c r="D18" s="113">
        <v>66</v>
      </c>
      <c r="E18" s="114" t="s">
        <v>5</v>
      </c>
      <c r="F18" s="115">
        <v>0</v>
      </c>
      <c r="G18" s="116">
        <v>0</v>
      </c>
      <c r="H18" s="116">
        <v>0</v>
      </c>
      <c r="I18" s="113">
        <v>66</v>
      </c>
      <c r="J18" s="117" t="s">
        <v>247</v>
      </c>
      <c r="K18" s="118">
        <v>0.5</v>
      </c>
      <c r="L18" s="119">
        <v>0</v>
      </c>
      <c r="M18" s="120">
        <v>0</v>
      </c>
      <c r="N18" s="121">
        <v>0</v>
      </c>
      <c r="O18" s="122">
        <v>0</v>
      </c>
      <c r="P18" s="123">
        <v>0</v>
      </c>
      <c r="Q18" s="124"/>
      <c r="R18" s="125">
        <v>253148</v>
      </c>
      <c r="S18" s="126"/>
      <c r="T18" s="127"/>
      <c r="U18" s="128">
        <v>0</v>
      </c>
      <c r="V18" s="128">
        <v>253148</v>
      </c>
      <c r="W18" s="129">
        <v>0</v>
      </c>
      <c r="X18" s="129">
        <v>253148</v>
      </c>
      <c r="Y18" s="54"/>
      <c r="Z18" s="49"/>
      <c r="AA18" s="49"/>
      <c r="AB18" s="49"/>
      <c r="AC18" s="130"/>
      <c r="AD18" s="131"/>
      <c r="AE18" s="131"/>
      <c r="AF18" s="132"/>
      <c r="AG18" s="132"/>
      <c r="AJ18" s="131"/>
      <c r="AK18" s="131"/>
      <c r="AL18" s="132"/>
      <c r="AM18" s="132"/>
    </row>
    <row r="19" spans="2:42" ht="15.75" x14ac:dyDescent="0.25">
      <c r="B19" s="133">
        <v>9994000</v>
      </c>
      <c r="C19" s="134" t="s">
        <v>33</v>
      </c>
      <c r="D19" s="113">
        <v>1000</v>
      </c>
      <c r="E19" s="114" t="s">
        <v>7</v>
      </c>
      <c r="F19" s="115">
        <v>0</v>
      </c>
      <c r="G19" s="116">
        <v>0</v>
      </c>
      <c r="H19" s="116">
        <v>0</v>
      </c>
      <c r="I19" s="113">
        <v>1000</v>
      </c>
      <c r="J19" s="117" t="s">
        <v>248</v>
      </c>
      <c r="K19" s="118"/>
      <c r="L19" s="119">
        <v>0</v>
      </c>
      <c r="M19" s="120">
        <v>0</v>
      </c>
      <c r="N19" s="121">
        <v>0</v>
      </c>
      <c r="O19" s="122">
        <v>0</v>
      </c>
      <c r="P19" s="123">
        <v>0</v>
      </c>
      <c r="Q19" s="124"/>
      <c r="R19" s="135">
        <v>2800507</v>
      </c>
      <c r="S19" s="136"/>
      <c r="T19" s="137"/>
      <c r="U19" s="138">
        <v>0</v>
      </c>
      <c r="V19" s="138">
        <v>2800507</v>
      </c>
      <c r="W19" s="139">
        <v>0</v>
      </c>
      <c r="X19" s="139">
        <v>2800507</v>
      </c>
      <c r="Z19" s="140"/>
      <c r="AA19" s="53"/>
      <c r="AB19" s="53"/>
      <c r="AC19" s="53"/>
      <c r="AD19" s="53"/>
      <c r="AE19" s="53"/>
      <c r="AJ19" s="53"/>
      <c r="AK19" s="53"/>
      <c r="AL19" s="141"/>
      <c r="AM19" s="141"/>
    </row>
    <row r="20" spans="2:42" ht="15.75" x14ac:dyDescent="0.25">
      <c r="B20" s="133">
        <v>9993001</v>
      </c>
      <c r="C20" s="134" t="s">
        <v>34</v>
      </c>
      <c r="D20" s="113">
        <v>182</v>
      </c>
      <c r="E20" s="114" t="s">
        <v>5</v>
      </c>
      <c r="F20" s="115">
        <v>0</v>
      </c>
      <c r="G20" s="116">
        <v>0</v>
      </c>
      <c r="H20" s="116">
        <v>0</v>
      </c>
      <c r="I20" s="113">
        <v>182</v>
      </c>
      <c r="J20" s="117" t="s">
        <v>248</v>
      </c>
      <c r="K20" s="118"/>
      <c r="L20" s="119">
        <v>0</v>
      </c>
      <c r="M20" s="120">
        <v>0</v>
      </c>
      <c r="N20" s="121">
        <v>0</v>
      </c>
      <c r="O20" s="122">
        <v>0</v>
      </c>
      <c r="P20" s="123">
        <v>0</v>
      </c>
      <c r="Q20" s="124"/>
      <c r="R20" s="135">
        <v>476873</v>
      </c>
      <c r="S20" s="136"/>
      <c r="T20" s="137"/>
      <c r="U20" s="138">
        <v>0</v>
      </c>
      <c r="V20" s="138">
        <v>476873</v>
      </c>
      <c r="W20" s="139">
        <v>0</v>
      </c>
      <c r="X20" s="139">
        <v>476873</v>
      </c>
      <c r="Z20" s="140"/>
      <c r="AA20" s="53"/>
      <c r="AB20" s="53"/>
      <c r="AC20" s="53"/>
      <c r="AD20" s="53"/>
      <c r="AE20" s="53"/>
      <c r="AJ20" s="53"/>
      <c r="AK20" s="53"/>
      <c r="AL20" s="141"/>
      <c r="AM20" s="141"/>
    </row>
    <row r="21" spans="2:42" ht="15.75" x14ac:dyDescent="0.25">
      <c r="B21" s="133">
        <v>9994001</v>
      </c>
      <c r="C21" s="134" t="s">
        <v>35</v>
      </c>
      <c r="D21" s="113">
        <v>1122</v>
      </c>
      <c r="E21" s="114" t="s">
        <v>7</v>
      </c>
      <c r="F21" s="115">
        <v>0</v>
      </c>
      <c r="G21" s="116">
        <v>0</v>
      </c>
      <c r="H21" s="116">
        <v>0</v>
      </c>
      <c r="I21" s="113">
        <v>1122</v>
      </c>
      <c r="J21" s="117" t="s">
        <v>248</v>
      </c>
      <c r="K21" s="118"/>
      <c r="L21" s="119">
        <v>0</v>
      </c>
      <c r="M21" s="120">
        <v>0</v>
      </c>
      <c r="N21" s="121">
        <v>0</v>
      </c>
      <c r="O21" s="122">
        <v>0</v>
      </c>
      <c r="P21" s="123">
        <v>0</v>
      </c>
      <c r="Q21" s="124"/>
      <c r="R21" s="135">
        <v>4180786</v>
      </c>
      <c r="S21" s="136"/>
      <c r="T21" s="137"/>
      <c r="U21" s="138">
        <v>0</v>
      </c>
      <c r="V21" s="138">
        <v>4180786</v>
      </c>
      <c r="W21" s="139">
        <v>0</v>
      </c>
      <c r="X21" s="139">
        <v>4180786</v>
      </c>
      <c r="Z21" s="140"/>
      <c r="AA21" s="53"/>
      <c r="AB21" s="53"/>
      <c r="AC21" s="53"/>
      <c r="AD21" s="53"/>
      <c r="AE21" s="53"/>
      <c r="AJ21" s="53"/>
      <c r="AK21" s="53"/>
      <c r="AL21" s="141"/>
      <c r="AM21" s="141"/>
    </row>
    <row r="22" spans="2:42" ht="15.75" x14ac:dyDescent="0.25">
      <c r="B22" s="133"/>
      <c r="C22" s="134"/>
      <c r="D22" s="113"/>
      <c r="E22" s="114"/>
      <c r="F22" s="115"/>
      <c r="G22" s="116"/>
      <c r="H22" s="116" t="s">
        <v>244</v>
      </c>
      <c r="I22" s="113"/>
      <c r="J22" s="117" t="s">
        <v>244</v>
      </c>
      <c r="K22" s="118"/>
      <c r="L22" s="119">
        <v>0</v>
      </c>
      <c r="M22" s="120" t="s">
        <v>244</v>
      </c>
      <c r="N22" s="121" t="s">
        <v>244</v>
      </c>
      <c r="O22" s="122" t="s">
        <v>244</v>
      </c>
      <c r="P22" s="123" t="s">
        <v>244</v>
      </c>
      <c r="Q22" s="124"/>
      <c r="R22" s="135"/>
      <c r="S22" s="136"/>
      <c r="T22" s="137"/>
      <c r="U22" s="138" t="s">
        <v>244</v>
      </c>
      <c r="V22" s="138" t="s">
        <v>244</v>
      </c>
      <c r="W22" s="139" t="s">
        <v>244</v>
      </c>
      <c r="X22" s="139" t="s">
        <v>244</v>
      </c>
      <c r="Z22" s="140"/>
      <c r="AA22" s="53"/>
      <c r="AB22" s="53"/>
      <c r="AC22" s="53"/>
      <c r="AD22" s="53"/>
      <c r="AE22" s="53"/>
      <c r="AJ22" s="53"/>
      <c r="AK22" s="53"/>
      <c r="AL22" s="141"/>
      <c r="AM22" s="141"/>
    </row>
    <row r="23" spans="2:42" ht="15.75" x14ac:dyDescent="0.25">
      <c r="B23" s="133">
        <v>1014</v>
      </c>
      <c r="C23" s="134" t="s">
        <v>36</v>
      </c>
      <c r="D23" s="113">
        <v>0</v>
      </c>
      <c r="E23" s="114" t="s">
        <v>5</v>
      </c>
      <c r="F23" s="115">
        <v>301248.98181544081</v>
      </c>
      <c r="G23" s="116">
        <v>301248.98181544081</v>
      </c>
      <c r="H23" s="116">
        <v>0</v>
      </c>
      <c r="I23" s="113"/>
      <c r="J23" s="117" t="s">
        <v>247</v>
      </c>
      <c r="K23" s="118">
        <v>0.97488685342057335</v>
      </c>
      <c r="L23" s="119">
        <v>0</v>
      </c>
      <c r="M23" s="120">
        <v>0</v>
      </c>
      <c r="N23" s="121">
        <v>0</v>
      </c>
      <c r="O23" s="142"/>
      <c r="P23" s="123" t="s">
        <v>244</v>
      </c>
      <c r="Q23" s="124"/>
      <c r="R23" s="143">
        <v>0</v>
      </c>
      <c r="S23" s="136"/>
      <c r="T23" s="137"/>
      <c r="U23" s="138">
        <v>0</v>
      </c>
      <c r="V23" s="138">
        <v>0</v>
      </c>
      <c r="W23" s="144"/>
      <c r="X23" s="139">
        <v>0</v>
      </c>
      <c r="Z23" s="140"/>
      <c r="AA23" s="53"/>
      <c r="AB23" s="53"/>
      <c r="AC23" s="53"/>
      <c r="AD23" s="53"/>
      <c r="AE23" s="53"/>
      <c r="AJ23" s="53"/>
      <c r="AK23" s="53"/>
      <c r="AL23" s="141"/>
      <c r="AM23" s="141"/>
    </row>
    <row r="24" spans="2:42" ht="15.75" x14ac:dyDescent="0.25">
      <c r="B24" s="133">
        <v>1017</v>
      </c>
      <c r="C24" s="134" t="s">
        <v>37</v>
      </c>
      <c r="D24" s="113">
        <v>0</v>
      </c>
      <c r="E24" s="114" t="s">
        <v>5</v>
      </c>
      <c r="F24" s="115">
        <v>253030.57997333969</v>
      </c>
      <c r="G24" s="116">
        <v>253030.57997333969</v>
      </c>
      <c r="H24" s="116">
        <v>0</v>
      </c>
      <c r="I24" s="113"/>
      <c r="J24" s="117" t="s">
        <v>247</v>
      </c>
      <c r="K24" s="118">
        <v>0.97389216870824102</v>
      </c>
      <c r="L24" s="119">
        <v>0</v>
      </c>
      <c r="M24" s="120">
        <v>0</v>
      </c>
      <c r="N24" s="121">
        <v>0</v>
      </c>
      <c r="O24" s="142"/>
      <c r="P24" s="123" t="s">
        <v>244</v>
      </c>
      <c r="Q24" s="124"/>
      <c r="R24" s="143">
        <v>0</v>
      </c>
      <c r="S24" s="136"/>
      <c r="T24" s="137"/>
      <c r="U24" s="138">
        <v>0</v>
      </c>
      <c r="V24" s="138">
        <v>0</v>
      </c>
      <c r="W24" s="144"/>
      <c r="X24" s="139">
        <v>0</v>
      </c>
      <c r="Z24" s="140"/>
      <c r="AA24" s="53"/>
      <c r="AB24" s="53"/>
      <c r="AC24" s="53"/>
      <c r="AD24" s="53"/>
      <c r="AE24" s="53"/>
      <c r="AJ24" s="53"/>
      <c r="AK24" s="53"/>
      <c r="AL24" s="141"/>
      <c r="AM24" s="141"/>
    </row>
    <row r="25" spans="2:42" ht="15.75" x14ac:dyDescent="0.25">
      <c r="B25" s="133">
        <v>1006</v>
      </c>
      <c r="C25" s="134" t="s">
        <v>38</v>
      </c>
      <c r="D25" s="113">
        <v>0</v>
      </c>
      <c r="E25" s="114" t="s">
        <v>5</v>
      </c>
      <c r="F25" s="115">
        <v>462581.39975274791</v>
      </c>
      <c r="G25" s="116">
        <v>462581.39975274791</v>
      </c>
      <c r="H25" s="116">
        <v>0</v>
      </c>
      <c r="I25" s="113"/>
      <c r="J25" s="117" t="s">
        <v>247</v>
      </c>
      <c r="K25" s="118">
        <v>0.98861658159306476</v>
      </c>
      <c r="L25" s="119">
        <v>0</v>
      </c>
      <c r="M25" s="120">
        <v>0</v>
      </c>
      <c r="N25" s="121">
        <v>0</v>
      </c>
      <c r="O25" s="142"/>
      <c r="P25" s="123" t="s">
        <v>244</v>
      </c>
      <c r="Q25" s="124"/>
      <c r="R25" s="143">
        <v>0</v>
      </c>
      <c r="S25" s="136"/>
      <c r="T25" s="137"/>
      <c r="U25" s="138">
        <v>0</v>
      </c>
      <c r="V25" s="138">
        <v>0</v>
      </c>
      <c r="W25" s="144"/>
      <c r="X25" s="139">
        <v>0</v>
      </c>
      <c r="Z25" s="140"/>
      <c r="AA25" s="53"/>
      <c r="AB25" s="53"/>
      <c r="AC25" s="53"/>
      <c r="AD25" s="53"/>
      <c r="AE25" s="53"/>
      <c r="AJ25" s="53"/>
      <c r="AK25" s="53"/>
      <c r="AL25" s="141"/>
      <c r="AM25" s="141"/>
    </row>
    <row r="26" spans="2:42" ht="15.75" x14ac:dyDescent="0.25">
      <c r="B26" s="133">
        <v>1008</v>
      </c>
      <c r="C26" s="134" t="s">
        <v>39</v>
      </c>
      <c r="D26" s="113">
        <v>0</v>
      </c>
      <c r="E26" s="114" t="s">
        <v>5</v>
      </c>
      <c r="F26" s="115">
        <v>408205.37289982417</v>
      </c>
      <c r="G26" s="116">
        <v>408205.37289982417</v>
      </c>
      <c r="H26" s="116">
        <v>0</v>
      </c>
      <c r="I26" s="113"/>
      <c r="J26" s="117" t="s">
        <v>247</v>
      </c>
      <c r="K26" s="118">
        <v>0.99563483288319532</v>
      </c>
      <c r="L26" s="119">
        <v>0</v>
      </c>
      <c r="M26" s="120">
        <v>0</v>
      </c>
      <c r="N26" s="121">
        <v>0</v>
      </c>
      <c r="O26" s="142"/>
      <c r="P26" s="123" t="s">
        <v>244</v>
      </c>
      <c r="Q26" s="124"/>
      <c r="R26" s="143">
        <v>0</v>
      </c>
      <c r="S26" s="136"/>
      <c r="T26" s="137"/>
      <c r="U26" s="138">
        <v>0</v>
      </c>
      <c r="V26" s="138">
        <v>0</v>
      </c>
      <c r="W26" s="144"/>
      <c r="X26" s="139">
        <v>0</v>
      </c>
      <c r="Z26" s="140"/>
      <c r="AA26" s="53"/>
      <c r="AB26" s="53"/>
      <c r="AC26" s="53"/>
      <c r="AD26" s="53"/>
      <c r="AE26" s="53"/>
      <c r="AJ26" s="53"/>
      <c r="AK26" s="53"/>
      <c r="AL26" s="141"/>
      <c r="AM26" s="141"/>
    </row>
    <row r="27" spans="2:42" ht="15.75" x14ac:dyDescent="0.25">
      <c r="B27" s="133">
        <v>1005</v>
      </c>
      <c r="C27" s="134" t="s">
        <v>40</v>
      </c>
      <c r="D27" s="113">
        <v>0</v>
      </c>
      <c r="E27" s="114" t="s">
        <v>5</v>
      </c>
      <c r="F27" s="115">
        <v>508673.30182953324</v>
      </c>
      <c r="G27" s="116">
        <v>508673.30182953324</v>
      </c>
      <c r="H27" s="116">
        <v>0</v>
      </c>
      <c r="I27" s="113"/>
      <c r="J27" s="117" t="s">
        <v>247</v>
      </c>
      <c r="K27" s="118">
        <v>0.98423614830817274</v>
      </c>
      <c r="L27" s="119">
        <v>0</v>
      </c>
      <c r="M27" s="120">
        <v>0</v>
      </c>
      <c r="N27" s="121">
        <v>0</v>
      </c>
      <c r="O27" s="142"/>
      <c r="P27" s="123" t="s">
        <v>244</v>
      </c>
      <c r="Q27" s="124"/>
      <c r="R27" s="143">
        <v>0</v>
      </c>
      <c r="S27" s="136"/>
      <c r="T27" s="137"/>
      <c r="U27" s="138">
        <v>0</v>
      </c>
      <c r="V27" s="138">
        <v>0</v>
      </c>
      <c r="W27" s="144"/>
      <c r="X27" s="139">
        <v>0</v>
      </c>
      <c r="Z27" s="140"/>
      <c r="AA27" s="53"/>
      <c r="AB27" s="53"/>
      <c r="AC27" s="53"/>
      <c r="AD27" s="53"/>
      <c r="AE27" s="53"/>
      <c r="AJ27" s="53"/>
      <c r="AK27" s="53"/>
      <c r="AL27" s="141"/>
      <c r="AM27" s="141"/>
    </row>
    <row r="28" spans="2:42" ht="15.75" x14ac:dyDescent="0.25">
      <c r="B28" s="133">
        <v>1010</v>
      </c>
      <c r="C28" s="134" t="s">
        <v>41</v>
      </c>
      <c r="D28" s="113">
        <v>0</v>
      </c>
      <c r="E28" s="114" t="s">
        <v>5</v>
      </c>
      <c r="F28" s="115">
        <v>386255.02117919794</v>
      </c>
      <c r="G28" s="116">
        <v>386255.02117919794</v>
      </c>
      <c r="H28" s="116">
        <v>0</v>
      </c>
      <c r="I28" s="113"/>
      <c r="J28" s="117" t="s">
        <v>247</v>
      </c>
      <c r="K28" s="118">
        <v>0.99451729227995078</v>
      </c>
      <c r="L28" s="119">
        <v>0</v>
      </c>
      <c r="M28" s="120">
        <v>0</v>
      </c>
      <c r="N28" s="121">
        <v>0</v>
      </c>
      <c r="O28" s="142"/>
      <c r="P28" s="123" t="s">
        <v>244</v>
      </c>
      <c r="Q28" s="124"/>
      <c r="R28" s="143">
        <v>0</v>
      </c>
      <c r="S28" s="136"/>
      <c r="T28" s="137"/>
      <c r="U28" s="138">
        <v>0</v>
      </c>
      <c r="V28" s="138">
        <v>0</v>
      </c>
      <c r="W28" s="144"/>
      <c r="X28" s="139">
        <v>0</v>
      </c>
      <c r="Z28" s="140"/>
      <c r="AA28" s="53"/>
      <c r="AB28" s="53"/>
      <c r="AC28" s="53"/>
      <c r="AD28" s="53"/>
      <c r="AE28" s="53"/>
      <c r="AJ28" s="53"/>
      <c r="AK28" s="53"/>
      <c r="AL28" s="141"/>
      <c r="AM28" s="141"/>
    </row>
    <row r="29" spans="2:42" ht="15.75" x14ac:dyDescent="0.25">
      <c r="B29" s="133">
        <v>1009</v>
      </c>
      <c r="C29" s="134" t="s">
        <v>42</v>
      </c>
      <c r="D29" s="113">
        <v>0</v>
      </c>
      <c r="E29" s="114" t="s">
        <v>5</v>
      </c>
      <c r="F29" s="115">
        <v>377262.37483509514</v>
      </c>
      <c r="G29" s="116">
        <v>377262.37483509514</v>
      </c>
      <c r="H29" s="116">
        <v>0</v>
      </c>
      <c r="I29" s="113"/>
      <c r="J29" s="117" t="s">
        <v>247</v>
      </c>
      <c r="K29" s="118">
        <v>0.99123949849343762</v>
      </c>
      <c r="L29" s="119">
        <v>0</v>
      </c>
      <c r="M29" s="120">
        <v>0</v>
      </c>
      <c r="N29" s="121">
        <v>0</v>
      </c>
      <c r="O29" s="142"/>
      <c r="P29" s="123" t="s">
        <v>244</v>
      </c>
      <c r="Q29" s="124"/>
      <c r="R29" s="143">
        <v>0</v>
      </c>
      <c r="S29" s="136"/>
      <c r="T29" s="137"/>
      <c r="U29" s="138">
        <v>0</v>
      </c>
      <c r="V29" s="138">
        <v>0</v>
      </c>
      <c r="W29" s="144"/>
      <c r="X29" s="139">
        <v>0</v>
      </c>
      <c r="AD29" s="53"/>
      <c r="AE29" s="53"/>
      <c r="AJ29" s="53"/>
      <c r="AK29" s="53"/>
      <c r="AL29" s="141"/>
      <c r="AM29" s="141"/>
    </row>
    <row r="30" spans="2:42" ht="15.75" x14ac:dyDescent="0.25">
      <c r="B30" s="133">
        <v>1015</v>
      </c>
      <c r="C30" s="134" t="s">
        <v>43</v>
      </c>
      <c r="D30" s="113">
        <v>0</v>
      </c>
      <c r="E30" s="114" t="s">
        <v>5</v>
      </c>
      <c r="F30" s="115">
        <v>361532.26577696856</v>
      </c>
      <c r="G30" s="116">
        <v>361532.26577696856</v>
      </c>
      <c r="H30" s="116">
        <v>0</v>
      </c>
      <c r="I30" s="113"/>
      <c r="J30" s="117" t="s">
        <v>247</v>
      </c>
      <c r="K30" s="118">
        <v>0.9937049176469801</v>
      </c>
      <c r="L30" s="119">
        <v>0</v>
      </c>
      <c r="M30" s="120">
        <v>0</v>
      </c>
      <c r="N30" s="121">
        <v>0</v>
      </c>
      <c r="O30" s="142"/>
      <c r="P30" s="123" t="s">
        <v>244</v>
      </c>
      <c r="Q30" s="124"/>
      <c r="R30" s="143">
        <v>0</v>
      </c>
      <c r="S30" s="136"/>
      <c r="T30" s="137"/>
      <c r="U30" s="138">
        <v>0</v>
      </c>
      <c r="V30" s="138">
        <v>0</v>
      </c>
      <c r="W30" s="144"/>
      <c r="X30" s="139">
        <v>0</v>
      </c>
      <c r="AC30" s="145"/>
      <c r="AD30" s="53"/>
      <c r="AE30" s="53"/>
      <c r="AJ30" s="53"/>
      <c r="AK30" s="53"/>
      <c r="AL30" s="141"/>
      <c r="AM30" s="141"/>
    </row>
    <row r="31" spans="2:42" ht="15.75" x14ac:dyDescent="0.25">
      <c r="B31" s="133"/>
      <c r="C31" s="134"/>
      <c r="D31" s="113"/>
      <c r="E31" s="114"/>
      <c r="F31" s="115"/>
      <c r="G31" s="116"/>
      <c r="H31" s="116" t="s">
        <v>244</v>
      </c>
      <c r="I31" s="113"/>
      <c r="J31" s="117" t="s">
        <v>244</v>
      </c>
      <c r="K31" s="118"/>
      <c r="L31" s="119">
        <v>0</v>
      </c>
      <c r="M31" s="120" t="s">
        <v>244</v>
      </c>
      <c r="N31" s="121" t="s">
        <v>244</v>
      </c>
      <c r="O31" s="122" t="s">
        <v>244</v>
      </c>
      <c r="P31" s="123" t="s">
        <v>244</v>
      </c>
      <c r="Q31" s="124"/>
      <c r="R31" s="135"/>
      <c r="S31" s="136"/>
      <c r="T31" s="137"/>
      <c r="U31" s="138" t="s">
        <v>244</v>
      </c>
      <c r="V31" s="138" t="s">
        <v>244</v>
      </c>
      <c r="W31" s="139"/>
      <c r="X31" s="139" t="s">
        <v>244</v>
      </c>
      <c r="AD31" s="53"/>
      <c r="AE31" s="53"/>
      <c r="AJ31" s="53"/>
      <c r="AK31" s="53"/>
      <c r="AL31" s="141"/>
      <c r="AM31" s="141"/>
    </row>
    <row r="32" spans="2:42" ht="15.75" x14ac:dyDescent="0.25">
      <c r="B32" s="133">
        <v>2400</v>
      </c>
      <c r="C32" s="134" t="s">
        <v>44</v>
      </c>
      <c r="D32" s="113">
        <v>260</v>
      </c>
      <c r="E32" s="114" t="s">
        <v>5</v>
      </c>
      <c r="F32" s="115">
        <v>1223245.5158880292</v>
      </c>
      <c r="G32" s="116">
        <v>149931.61113003764</v>
      </c>
      <c r="H32" s="116">
        <v>1073313.9047579917</v>
      </c>
      <c r="I32" s="113">
        <v>299</v>
      </c>
      <c r="J32" s="117" t="s">
        <v>248</v>
      </c>
      <c r="K32" s="118"/>
      <c r="L32" s="119">
        <v>0</v>
      </c>
      <c r="M32" s="120">
        <v>1057214.1961866217</v>
      </c>
      <c r="N32" s="121">
        <v>39</v>
      </c>
      <c r="O32" s="122">
        <v>158582.12942799323</v>
      </c>
      <c r="P32" s="123">
        <v>1215796.3256146149</v>
      </c>
      <c r="Q32" s="124"/>
      <c r="R32" s="135">
        <v>1376079.3069837727</v>
      </c>
      <c r="S32" s="136"/>
      <c r="T32" s="137"/>
      <c r="U32" s="138">
        <v>128341.04000000001</v>
      </c>
      <c r="V32" s="138">
        <v>1247738.2669837726</v>
      </c>
      <c r="W32" s="139">
        <v>0</v>
      </c>
      <c r="X32" s="139">
        <v>1376079.3069837727</v>
      </c>
      <c r="Z32" s="146"/>
      <c r="AA32" s="147"/>
      <c r="AB32" s="146"/>
      <c r="AC32" s="146"/>
      <c r="AD32" s="148">
        <f>VLOOKUP($B32,'Delegation in 13-14'!$B:$N,13,FALSE)</f>
        <v>21831.010514667913</v>
      </c>
      <c r="AE32" s="149"/>
      <c r="AF32" s="5">
        <f>SUM($X32-$U32+$AD32)/$I32</f>
        <v>4246.0510953125104</v>
      </c>
      <c r="AG32" s="5">
        <f>SUM($H32+$AD32)/$D32</f>
        <v>4212.0958279717679</v>
      </c>
      <c r="AH32" s="6"/>
      <c r="AI32" s="1"/>
      <c r="AJ32" s="148">
        <f>VLOOKUP($B32,'Delegation in 13-14'!$B:$N,13,FALSE)</f>
        <v>21831.010514667913</v>
      </c>
      <c r="AK32" s="149"/>
      <c r="AL32" s="5">
        <f>SUM($X32-$U32+$AD32-W32)/$I32</f>
        <v>4246.0510953125104</v>
      </c>
      <c r="AM32" s="5">
        <f>SUM($H32+$AD32-W32)/$D32</f>
        <v>4212.0958279717679</v>
      </c>
      <c r="AN32" s="7"/>
      <c r="AO32" s="5"/>
      <c r="AP32" s="1"/>
    </row>
    <row r="33" spans="2:42" ht="15.75" x14ac:dyDescent="0.25">
      <c r="B33" s="133">
        <v>2443</v>
      </c>
      <c r="C33" s="134" t="s">
        <v>45</v>
      </c>
      <c r="D33" s="113">
        <v>259</v>
      </c>
      <c r="E33" s="114" t="s">
        <v>5</v>
      </c>
      <c r="F33" s="115">
        <v>1123387.5683190755</v>
      </c>
      <c r="G33" s="116">
        <v>272632.47708281316</v>
      </c>
      <c r="H33" s="116">
        <v>850755.09123626235</v>
      </c>
      <c r="I33" s="113">
        <v>268</v>
      </c>
      <c r="J33" s="117" t="s">
        <v>248</v>
      </c>
      <c r="K33" s="118"/>
      <c r="L33" s="119">
        <v>0</v>
      </c>
      <c r="M33" s="120">
        <v>837993.76486771845</v>
      </c>
      <c r="N33" s="121">
        <v>9</v>
      </c>
      <c r="O33" s="122">
        <v>29119.474454862804</v>
      </c>
      <c r="P33" s="123">
        <v>867113.23932258121</v>
      </c>
      <c r="Q33" s="124"/>
      <c r="R33" s="135">
        <v>943127.00126529485</v>
      </c>
      <c r="S33" s="136"/>
      <c r="T33" s="137"/>
      <c r="U33" s="138">
        <v>113813.28</v>
      </c>
      <c r="V33" s="138">
        <v>829313.72126529482</v>
      </c>
      <c r="W33" s="139">
        <v>37799.51805728639</v>
      </c>
      <c r="X33" s="139">
        <v>980926.51932258124</v>
      </c>
      <c r="Z33" s="146"/>
      <c r="AA33" s="147"/>
      <c r="AB33" s="146"/>
      <c r="AC33" s="146"/>
      <c r="AD33" s="148">
        <f>VLOOKUP($B33,'Delegation in 13-14'!$B:$N,13,FALSE)</f>
        <v>19567.59470879933</v>
      </c>
      <c r="AE33" s="149"/>
      <c r="AF33" s="5">
        <f t="shared" ref="AF33:AF96" si="0">SUM($X33-$U33+$AD33)/$I33</f>
        <v>3308.5105747439575</v>
      </c>
      <c r="AG33" s="5">
        <f t="shared" ref="AG33:AG96" si="1">SUM($H33+$AD33)/$D33</f>
        <v>3360.3192507531339</v>
      </c>
      <c r="AH33" s="6"/>
      <c r="AI33" s="1"/>
      <c r="AJ33" s="148">
        <f>VLOOKUP($B33,'Delegation in 13-14'!$B:$N,13,FALSE)</f>
        <v>19567.59470879933</v>
      </c>
      <c r="AK33" s="149"/>
      <c r="AL33" s="5">
        <f t="shared" ref="AL33:AL96" si="2">SUM($X33-$U33+$AD33-W33)/$I33</f>
        <v>3167.4675969182622</v>
      </c>
      <c r="AM33" s="5">
        <f t="shared" ref="AM33:AM96" si="3">SUM($H33+$AD33-W33)/$D33</f>
        <v>3214.3751655898664</v>
      </c>
      <c r="AN33" s="1"/>
      <c r="AO33" s="5"/>
      <c r="AP33" s="1"/>
    </row>
    <row r="34" spans="2:42" ht="15.75" x14ac:dyDescent="0.25">
      <c r="B34" s="133">
        <v>2442</v>
      </c>
      <c r="C34" s="134" t="s">
        <v>46</v>
      </c>
      <c r="D34" s="113">
        <v>285</v>
      </c>
      <c r="E34" s="114" t="s">
        <v>5</v>
      </c>
      <c r="F34" s="115">
        <v>1290083.9602054553</v>
      </c>
      <c r="G34" s="116">
        <v>330290.44401972194</v>
      </c>
      <c r="H34" s="116">
        <v>959793.51618573337</v>
      </c>
      <c r="I34" s="113">
        <v>298</v>
      </c>
      <c r="J34" s="117" t="s">
        <v>248</v>
      </c>
      <c r="K34" s="118"/>
      <c r="L34" s="119">
        <v>0</v>
      </c>
      <c r="M34" s="120">
        <v>945396.61344294739</v>
      </c>
      <c r="N34" s="121">
        <v>13</v>
      </c>
      <c r="O34" s="122">
        <v>43123.3542973976</v>
      </c>
      <c r="P34" s="123">
        <v>988519.96774034505</v>
      </c>
      <c r="Q34" s="124"/>
      <c r="R34" s="135">
        <v>1080915.9163261144</v>
      </c>
      <c r="S34" s="136"/>
      <c r="T34" s="137"/>
      <c r="U34" s="138">
        <v>113813.28</v>
      </c>
      <c r="V34" s="138">
        <v>967102.63632611441</v>
      </c>
      <c r="W34" s="139">
        <v>21417.331414230634</v>
      </c>
      <c r="X34" s="139">
        <v>1102333.2477403451</v>
      </c>
      <c r="Z34" s="146"/>
      <c r="AA34" s="147"/>
      <c r="AB34" s="146"/>
      <c r="AC34" s="146"/>
      <c r="AD34" s="148">
        <f>VLOOKUP($B34,'Delegation in 13-14'!$B:$N,13,FALSE)</f>
        <v>21757.997101575376</v>
      </c>
      <c r="AE34" s="149"/>
      <c r="AF34" s="5">
        <f t="shared" si="0"/>
        <v>3390.1945128923503</v>
      </c>
      <c r="AG34" s="5">
        <f t="shared" si="1"/>
        <v>3444.0403974993287</v>
      </c>
      <c r="AH34" s="6"/>
      <c r="AI34" s="1"/>
      <c r="AJ34" s="148">
        <f>VLOOKUP($B34,'Delegation in 13-14'!$B:$N,13,FALSE)</f>
        <v>21757.997101575376</v>
      </c>
      <c r="AK34" s="149"/>
      <c r="AL34" s="5">
        <f t="shared" si="2"/>
        <v>3318.3242732472813</v>
      </c>
      <c r="AM34" s="5">
        <f t="shared" si="3"/>
        <v>3368.8918662213268</v>
      </c>
      <c r="AN34" s="1"/>
      <c r="AO34" s="5"/>
      <c r="AP34" s="1"/>
    </row>
    <row r="35" spans="2:42" ht="15.75" x14ac:dyDescent="0.25">
      <c r="B35" s="133">
        <v>2629</v>
      </c>
      <c r="C35" s="134" t="s">
        <v>47</v>
      </c>
      <c r="D35" s="113">
        <v>297</v>
      </c>
      <c r="E35" s="114" t="s">
        <v>5</v>
      </c>
      <c r="F35" s="115">
        <v>1765252.7281713334</v>
      </c>
      <c r="G35" s="116">
        <v>484234.45574871206</v>
      </c>
      <c r="H35" s="116">
        <v>1281018.2724226215</v>
      </c>
      <c r="I35" s="113">
        <v>338</v>
      </c>
      <c r="J35" s="117" t="s">
        <v>248</v>
      </c>
      <c r="K35" s="118"/>
      <c r="L35" s="119">
        <v>0</v>
      </c>
      <c r="M35" s="120">
        <v>1261802.9983362821</v>
      </c>
      <c r="N35" s="121">
        <v>41</v>
      </c>
      <c r="O35" s="122">
        <v>174188.29269962141</v>
      </c>
      <c r="P35" s="123">
        <v>1435991.2910359036</v>
      </c>
      <c r="Q35" s="124"/>
      <c r="R35" s="135">
        <v>1438905.7239152398</v>
      </c>
      <c r="S35" s="136"/>
      <c r="T35" s="137"/>
      <c r="U35" s="138">
        <v>126912.08</v>
      </c>
      <c r="V35" s="138">
        <v>1311993.6439152397</v>
      </c>
      <c r="W35" s="139">
        <v>123997.6471206639</v>
      </c>
      <c r="X35" s="139">
        <v>1562903.3710359037</v>
      </c>
      <c r="Z35" s="146"/>
      <c r="AA35" s="147"/>
      <c r="AB35" s="146"/>
      <c r="AC35" s="146"/>
      <c r="AD35" s="148">
        <f>VLOOKUP($B35,'Delegation in 13-14'!$B:$N,13,FALSE)</f>
        <v>24678.53362527677</v>
      </c>
      <c r="AE35" s="149"/>
      <c r="AF35" s="5">
        <f t="shared" si="0"/>
        <v>4321.5083569857406</v>
      </c>
      <c r="AG35" s="5">
        <f t="shared" si="1"/>
        <v>4396.2855422488155</v>
      </c>
      <c r="AH35" s="6"/>
      <c r="AI35" s="1"/>
      <c r="AJ35" s="148">
        <f>VLOOKUP($B35,'Delegation in 13-14'!$B:$N,13,FALSE)</f>
        <v>24678.53362527677</v>
      </c>
      <c r="AK35" s="149"/>
      <c r="AL35" s="5">
        <f t="shared" si="2"/>
        <v>3954.6514128417648</v>
      </c>
      <c r="AM35" s="5">
        <f t="shared" si="3"/>
        <v>3978.7850468930451</v>
      </c>
      <c r="AN35" s="1"/>
      <c r="AO35" s="5"/>
      <c r="AP35" s="1"/>
    </row>
    <row r="36" spans="2:42" ht="15.75" x14ac:dyDescent="0.25">
      <c r="B36" s="133">
        <v>2509</v>
      </c>
      <c r="C36" s="134" t="s">
        <v>48</v>
      </c>
      <c r="D36" s="113">
        <v>170</v>
      </c>
      <c r="E36" s="114" t="s">
        <v>5</v>
      </c>
      <c r="F36" s="115">
        <v>704727.9500395119</v>
      </c>
      <c r="G36" s="116">
        <v>132207.38102595601</v>
      </c>
      <c r="H36" s="116">
        <v>572520.56901355588</v>
      </c>
      <c r="I36" s="113">
        <v>196</v>
      </c>
      <c r="J36" s="117" t="s">
        <v>248</v>
      </c>
      <c r="K36" s="118"/>
      <c r="L36" s="119">
        <v>0</v>
      </c>
      <c r="M36" s="120">
        <v>563932.76047835255</v>
      </c>
      <c r="N36" s="121">
        <v>26</v>
      </c>
      <c r="O36" s="122">
        <v>86248.539837865683</v>
      </c>
      <c r="P36" s="123">
        <v>650181.30031621829</v>
      </c>
      <c r="Q36" s="124"/>
      <c r="R36" s="135">
        <v>754267.61508148233</v>
      </c>
      <c r="S36" s="136"/>
      <c r="T36" s="137"/>
      <c r="U36" s="138">
        <v>112979.72</v>
      </c>
      <c r="V36" s="138">
        <v>641287.89508148236</v>
      </c>
      <c r="W36" s="139">
        <v>8893.4052347359248</v>
      </c>
      <c r="X36" s="139">
        <v>763161.02031621826</v>
      </c>
      <c r="Z36" s="146"/>
      <c r="AA36" s="147"/>
      <c r="AB36" s="146"/>
      <c r="AC36" s="146"/>
      <c r="AD36" s="148">
        <f>VLOOKUP($B36,'Delegation in 13-14'!$B:$N,13,FALSE)</f>
        <v>14310.628966136825</v>
      </c>
      <c r="AE36" s="149"/>
      <c r="AF36" s="5">
        <f t="shared" si="0"/>
        <v>3390.2649453181384</v>
      </c>
      <c r="AG36" s="5">
        <f t="shared" si="1"/>
        <v>3451.9482234099573</v>
      </c>
      <c r="AH36" s="6"/>
      <c r="AI36" s="1"/>
      <c r="AJ36" s="148">
        <f>VLOOKUP($B36,'Delegation in 13-14'!$B:$N,13,FALSE)</f>
        <v>14310.628966136825</v>
      </c>
      <c r="AK36" s="149"/>
      <c r="AL36" s="5">
        <f t="shared" si="2"/>
        <v>3344.8904288143835</v>
      </c>
      <c r="AM36" s="5">
        <f t="shared" si="3"/>
        <v>3399.634074970334</v>
      </c>
      <c r="AN36" s="1"/>
      <c r="AO36" s="5"/>
      <c r="AP36" s="1"/>
    </row>
    <row r="37" spans="2:42" ht="15.75" x14ac:dyDescent="0.25">
      <c r="B37" s="133">
        <v>2005</v>
      </c>
      <c r="C37" s="134" t="s">
        <v>49</v>
      </c>
      <c r="D37" s="113">
        <v>270</v>
      </c>
      <c r="E37" s="114" t="s">
        <v>5</v>
      </c>
      <c r="F37" s="115">
        <v>1106543.8846893592</v>
      </c>
      <c r="G37" s="116">
        <v>137107.61113003764</v>
      </c>
      <c r="H37" s="116">
        <v>969436.27355932165</v>
      </c>
      <c r="I37" s="113">
        <v>305</v>
      </c>
      <c r="J37" s="117" t="s">
        <v>248</v>
      </c>
      <c r="K37" s="118"/>
      <c r="L37" s="119">
        <v>0</v>
      </c>
      <c r="M37" s="120">
        <v>954894.72945593181</v>
      </c>
      <c r="N37" s="121">
        <v>35</v>
      </c>
      <c r="O37" s="122">
        <v>123782.65011465782</v>
      </c>
      <c r="P37" s="123">
        <v>1078677.3795705896</v>
      </c>
      <c r="Q37" s="124"/>
      <c r="R37" s="135">
        <v>1222237.9470938344</v>
      </c>
      <c r="S37" s="136"/>
      <c r="T37" s="137"/>
      <c r="U37" s="138">
        <v>115004.08</v>
      </c>
      <c r="V37" s="138">
        <v>1107233.8670938343</v>
      </c>
      <c r="W37" s="139">
        <v>0</v>
      </c>
      <c r="X37" s="139">
        <v>1222237.9470938344</v>
      </c>
      <c r="Z37" s="146"/>
      <c r="AA37" s="147"/>
      <c r="AB37" s="146"/>
      <c r="AC37" s="146"/>
      <c r="AD37" s="148">
        <f>VLOOKUP($B37,'Delegation in 13-14'!$B:$N,13,FALSE)</f>
        <v>22269.090993223119</v>
      </c>
      <c r="AE37" s="149"/>
      <c r="AF37" s="5">
        <f t="shared" si="0"/>
        <v>3703.2883871706799</v>
      </c>
      <c r="AG37" s="5">
        <f t="shared" si="1"/>
        <v>3672.9828316760918</v>
      </c>
      <c r="AH37" s="6"/>
      <c r="AI37" s="1"/>
      <c r="AJ37" s="148">
        <f>VLOOKUP($B37,'Delegation in 13-14'!$B:$N,13,FALSE)</f>
        <v>22269.090993223119</v>
      </c>
      <c r="AK37" s="149"/>
      <c r="AL37" s="5">
        <f t="shared" si="2"/>
        <v>3703.2883871706799</v>
      </c>
      <c r="AM37" s="5">
        <f t="shared" si="3"/>
        <v>3672.9828316760918</v>
      </c>
      <c r="AN37" s="1"/>
      <c r="AO37" s="5"/>
      <c r="AP37" s="1"/>
    </row>
    <row r="38" spans="2:42" ht="15.75" x14ac:dyDescent="0.25">
      <c r="B38" s="133">
        <v>2464</v>
      </c>
      <c r="C38" s="134" t="s">
        <v>50</v>
      </c>
      <c r="D38" s="113">
        <v>169</v>
      </c>
      <c r="E38" s="114" t="s">
        <v>5</v>
      </c>
      <c r="F38" s="115">
        <v>800197.86035025399</v>
      </c>
      <c r="G38" s="116">
        <v>210140.83974529992</v>
      </c>
      <c r="H38" s="116">
        <v>590057.0206049541</v>
      </c>
      <c r="I38" s="113">
        <v>171</v>
      </c>
      <c r="J38" s="117" t="s">
        <v>248</v>
      </c>
      <c r="K38" s="118"/>
      <c r="L38" s="119">
        <v>0</v>
      </c>
      <c r="M38" s="120">
        <v>581206.16529587982</v>
      </c>
      <c r="N38" s="121">
        <v>2</v>
      </c>
      <c r="O38" s="122">
        <v>6878.1794709571577</v>
      </c>
      <c r="P38" s="123">
        <v>588084.34476683696</v>
      </c>
      <c r="Q38" s="124"/>
      <c r="R38" s="135">
        <v>639281.97475517064</v>
      </c>
      <c r="S38" s="136"/>
      <c r="T38" s="137"/>
      <c r="U38" s="138">
        <v>112622.48</v>
      </c>
      <c r="V38" s="138">
        <v>526659.49475517066</v>
      </c>
      <c r="W38" s="139">
        <v>61424.850011666305</v>
      </c>
      <c r="X38" s="139">
        <v>700706.82476683694</v>
      </c>
      <c r="Z38" s="146"/>
      <c r="AA38" s="147"/>
      <c r="AB38" s="146"/>
      <c r="AC38" s="146"/>
      <c r="AD38" s="148">
        <f>VLOOKUP($B38,'Delegation in 13-14'!$B:$N,13,FALSE)</f>
        <v>12485.293638823454</v>
      </c>
      <c r="AE38" s="149"/>
      <c r="AF38" s="5">
        <f t="shared" si="0"/>
        <v>3512.1031485711133</v>
      </c>
      <c r="AG38" s="5">
        <f t="shared" si="1"/>
        <v>3565.3391375371452</v>
      </c>
      <c r="AH38" s="6"/>
      <c r="AI38" s="1"/>
      <c r="AJ38" s="148">
        <f>VLOOKUP($B38,'Delegation in 13-14'!$B:$N,13,FALSE)</f>
        <v>12485.293638823454</v>
      </c>
      <c r="AK38" s="149"/>
      <c r="AL38" s="5">
        <f t="shared" si="2"/>
        <v>3152.8934993800826</v>
      </c>
      <c r="AM38" s="5">
        <f t="shared" si="3"/>
        <v>3201.8784865805396</v>
      </c>
      <c r="AN38" s="1"/>
      <c r="AO38" s="5"/>
      <c r="AP38" s="1"/>
    </row>
    <row r="39" spans="2:42" ht="15.75" x14ac:dyDescent="0.25">
      <c r="B39" s="133">
        <v>2004</v>
      </c>
      <c r="C39" s="134" t="s">
        <v>51</v>
      </c>
      <c r="D39" s="113">
        <v>243</v>
      </c>
      <c r="E39" s="114" t="s">
        <v>5</v>
      </c>
      <c r="F39" s="115">
        <v>1377824.6184645097</v>
      </c>
      <c r="G39" s="116">
        <v>298020.72537283174</v>
      </c>
      <c r="H39" s="116">
        <v>1079803.8930916779</v>
      </c>
      <c r="I39" s="113">
        <v>252</v>
      </c>
      <c r="J39" s="117" t="s">
        <v>248</v>
      </c>
      <c r="K39" s="118"/>
      <c r="L39" s="119">
        <v>0</v>
      </c>
      <c r="M39" s="120">
        <v>1063606.8346953026</v>
      </c>
      <c r="N39" s="121">
        <v>9</v>
      </c>
      <c r="O39" s="122">
        <v>39392.845729455657</v>
      </c>
      <c r="P39" s="123">
        <v>1102999.6804247582</v>
      </c>
      <c r="Q39" s="124"/>
      <c r="R39" s="135">
        <v>1134662.9216422462</v>
      </c>
      <c r="S39" s="136"/>
      <c r="T39" s="137"/>
      <c r="U39" s="138">
        <v>115004.08</v>
      </c>
      <c r="V39" s="138">
        <v>1019658.8416422462</v>
      </c>
      <c r="W39" s="139">
        <v>83340.838782512001</v>
      </c>
      <c r="X39" s="139">
        <v>1218003.7604247583</v>
      </c>
      <c r="Z39" s="146"/>
      <c r="AA39" s="147"/>
      <c r="AB39" s="146"/>
      <c r="AC39" s="146"/>
      <c r="AD39" s="148">
        <f>VLOOKUP($B39,'Delegation in 13-14'!$B:$N,13,FALSE)</f>
        <v>18399.380099318776</v>
      </c>
      <c r="AE39" s="149"/>
      <c r="AF39" s="5">
        <f t="shared" si="0"/>
        <v>4449.9962719209398</v>
      </c>
      <c r="AG39" s="5">
        <f t="shared" si="1"/>
        <v>4519.355033707805</v>
      </c>
      <c r="AH39" s="6"/>
      <c r="AI39" s="1"/>
      <c r="AJ39" s="148">
        <f>VLOOKUP($B39,'Delegation in 13-14'!$B:$N,13,FALSE)</f>
        <v>18399.380099318776</v>
      </c>
      <c r="AK39" s="149"/>
      <c r="AL39" s="5">
        <f t="shared" si="2"/>
        <v>4119.2786577046227</v>
      </c>
      <c r="AM39" s="5">
        <f t="shared" si="3"/>
        <v>4176.3886189649575</v>
      </c>
      <c r="AN39" s="1"/>
      <c r="AO39" s="5"/>
      <c r="AP39" s="1"/>
    </row>
    <row r="40" spans="2:42" ht="15.75" x14ac:dyDescent="0.25">
      <c r="B40" s="133">
        <v>2405</v>
      </c>
      <c r="C40" s="134" t="s">
        <v>52</v>
      </c>
      <c r="D40" s="113">
        <v>178</v>
      </c>
      <c r="E40" s="114" t="s">
        <v>5</v>
      </c>
      <c r="F40" s="115">
        <v>1061446.3541269966</v>
      </c>
      <c r="G40" s="116">
        <v>352263.93807562551</v>
      </c>
      <c r="H40" s="116">
        <v>709182.41605137102</v>
      </c>
      <c r="I40" s="113">
        <v>190</v>
      </c>
      <c r="J40" s="117" t="s">
        <v>248</v>
      </c>
      <c r="K40" s="118"/>
      <c r="L40" s="119">
        <v>0</v>
      </c>
      <c r="M40" s="120">
        <v>698544.67981060047</v>
      </c>
      <c r="N40" s="121">
        <v>12</v>
      </c>
      <c r="O40" s="122">
        <v>47092.899762512396</v>
      </c>
      <c r="P40" s="123">
        <v>745637.57957311289</v>
      </c>
      <c r="Q40" s="124"/>
      <c r="R40" s="135">
        <v>860055.71863261377</v>
      </c>
      <c r="S40" s="136"/>
      <c r="T40" s="137"/>
      <c r="U40" s="138">
        <v>113098.8</v>
      </c>
      <c r="V40" s="138">
        <v>746956.91863261373</v>
      </c>
      <c r="W40" s="139">
        <v>0</v>
      </c>
      <c r="X40" s="139">
        <v>860055.71863261377</v>
      </c>
      <c r="Z40" s="146"/>
      <c r="AA40" s="147"/>
      <c r="AB40" s="146"/>
      <c r="AC40" s="146"/>
      <c r="AD40" s="148">
        <f>VLOOKUP($B40,'Delegation in 13-14'!$B:$N,13,FALSE)</f>
        <v>13872.548487581616</v>
      </c>
      <c r="AE40" s="149"/>
      <c r="AF40" s="5">
        <f t="shared" si="0"/>
        <v>4004.3656164220811</v>
      </c>
      <c r="AG40" s="5">
        <f t="shared" si="1"/>
        <v>4062.1065423536666</v>
      </c>
      <c r="AH40" s="6"/>
      <c r="AI40" s="1"/>
      <c r="AJ40" s="148">
        <f>VLOOKUP($B40,'Delegation in 13-14'!$B:$N,13,FALSE)</f>
        <v>13872.548487581616</v>
      </c>
      <c r="AK40" s="149"/>
      <c r="AL40" s="5">
        <f t="shared" si="2"/>
        <v>4004.3656164220811</v>
      </c>
      <c r="AM40" s="5">
        <f t="shared" si="3"/>
        <v>4062.1065423536666</v>
      </c>
      <c r="AN40" s="1"/>
      <c r="AO40" s="5"/>
      <c r="AP40" s="1"/>
    </row>
    <row r="41" spans="2:42" ht="15.75" x14ac:dyDescent="0.25">
      <c r="B41" s="133">
        <v>3525</v>
      </c>
      <c r="C41" s="134" t="s">
        <v>53</v>
      </c>
      <c r="D41" s="113">
        <v>200</v>
      </c>
      <c r="E41" s="114" t="s">
        <v>5</v>
      </c>
      <c r="F41" s="115">
        <v>923262.77317604225</v>
      </c>
      <c r="G41" s="116">
        <v>236580.99289417331</v>
      </c>
      <c r="H41" s="116">
        <v>686681.780281869</v>
      </c>
      <c r="I41" s="113">
        <v>202</v>
      </c>
      <c r="J41" s="117" t="s">
        <v>248</v>
      </c>
      <c r="K41" s="118"/>
      <c r="L41" s="119">
        <v>0</v>
      </c>
      <c r="M41" s="120">
        <v>676381.55357764091</v>
      </c>
      <c r="N41" s="121">
        <v>2</v>
      </c>
      <c r="O41" s="122">
        <v>6763.815535776409</v>
      </c>
      <c r="P41" s="123">
        <v>683145.36911341734</v>
      </c>
      <c r="Q41" s="124"/>
      <c r="R41" s="135">
        <v>766560.56107081787</v>
      </c>
      <c r="S41" s="136"/>
      <c r="T41" s="137"/>
      <c r="U41" s="138">
        <v>104919.61599999999</v>
      </c>
      <c r="V41" s="138">
        <v>661640.94507081783</v>
      </c>
      <c r="W41" s="139">
        <v>21504.424042599509</v>
      </c>
      <c r="X41" s="139">
        <v>788064.98511341738</v>
      </c>
      <c r="Z41" s="146"/>
      <c r="AA41" s="147"/>
      <c r="AB41" s="146"/>
      <c r="AC41" s="146"/>
      <c r="AD41" s="148">
        <f>VLOOKUP($B41,'Delegation in 13-14'!$B:$N,13,FALSE)</f>
        <v>14748.709444692033</v>
      </c>
      <c r="AE41" s="149"/>
      <c r="AF41" s="5">
        <f t="shared" si="0"/>
        <v>3454.9211809807393</v>
      </c>
      <c r="AG41" s="5">
        <f t="shared" si="1"/>
        <v>3507.1524486328049</v>
      </c>
      <c r="AH41" s="6"/>
      <c r="AI41" s="1"/>
      <c r="AJ41" s="148">
        <f>VLOOKUP($B41,'Delegation in 13-14'!$B:$N,13,FALSE)</f>
        <v>14748.709444692033</v>
      </c>
      <c r="AK41" s="149"/>
      <c r="AL41" s="5">
        <f t="shared" si="2"/>
        <v>3348.4636362153951</v>
      </c>
      <c r="AM41" s="5">
        <f t="shared" si="3"/>
        <v>3399.6303284198075</v>
      </c>
      <c r="AN41" s="1"/>
      <c r="AO41" s="5"/>
      <c r="AP41" s="1"/>
    </row>
    <row r="42" spans="2:42" ht="15.75" x14ac:dyDescent="0.25">
      <c r="B42" s="133">
        <v>5201</v>
      </c>
      <c r="C42" s="134" t="s">
        <v>54</v>
      </c>
      <c r="D42" s="113">
        <v>361</v>
      </c>
      <c r="E42" s="114" t="s">
        <v>5</v>
      </c>
      <c r="F42" s="115">
        <v>1309786.8480843657</v>
      </c>
      <c r="G42" s="116">
        <v>264046.38904511597</v>
      </c>
      <c r="H42" s="116">
        <v>1045740.4590392497</v>
      </c>
      <c r="I42" s="113">
        <v>377</v>
      </c>
      <c r="J42" s="117" t="s">
        <v>248</v>
      </c>
      <c r="K42" s="118"/>
      <c r="L42" s="119">
        <v>0</v>
      </c>
      <c r="M42" s="120">
        <v>1030054.352153661</v>
      </c>
      <c r="N42" s="121">
        <v>16</v>
      </c>
      <c r="O42" s="122">
        <v>45653.378488804919</v>
      </c>
      <c r="P42" s="123">
        <v>1075707.7306424659</v>
      </c>
      <c r="Q42" s="124"/>
      <c r="R42" s="135">
        <v>1136650.7129038731</v>
      </c>
      <c r="S42" s="136"/>
      <c r="T42" s="137"/>
      <c r="U42" s="138">
        <v>110812.46400000001</v>
      </c>
      <c r="V42" s="138">
        <v>1025838.248903873</v>
      </c>
      <c r="W42" s="139">
        <v>49869.481738592847</v>
      </c>
      <c r="X42" s="139">
        <v>1186520.194642466</v>
      </c>
      <c r="Z42" s="146"/>
      <c r="AA42" s="147"/>
      <c r="AB42" s="146"/>
      <c r="AC42" s="146"/>
      <c r="AD42" s="148">
        <f>VLOOKUP($B42,'Delegation in 13-14'!$B:$N,13,FALSE)</f>
        <v>27526.056735885628</v>
      </c>
      <c r="AE42" s="149"/>
      <c r="AF42" s="5">
        <f t="shared" si="0"/>
        <v>2926.3495686428428</v>
      </c>
      <c r="AG42" s="5">
        <f t="shared" si="1"/>
        <v>2973.0374398203194</v>
      </c>
      <c r="AH42" s="6"/>
      <c r="AI42" s="1"/>
      <c r="AJ42" s="148">
        <f>VLOOKUP($B42,'Delegation in 13-14'!$B:$N,13,FALSE)</f>
        <v>27526.056735885628</v>
      </c>
      <c r="AK42" s="149"/>
      <c r="AL42" s="5">
        <f t="shared" si="2"/>
        <v>2794.0697762327818</v>
      </c>
      <c r="AM42" s="5">
        <f t="shared" si="3"/>
        <v>2834.8948311261561</v>
      </c>
      <c r="AN42" s="1"/>
      <c r="AO42" s="5"/>
      <c r="AP42" s="1"/>
    </row>
    <row r="43" spans="2:42" ht="15.75" x14ac:dyDescent="0.25">
      <c r="B43" s="150">
        <v>2007</v>
      </c>
      <c r="C43" s="151" t="s">
        <v>55</v>
      </c>
      <c r="D43" s="113">
        <v>248</v>
      </c>
      <c r="E43" s="114" t="s">
        <v>5</v>
      </c>
      <c r="F43" s="115">
        <v>1235185.6585356658</v>
      </c>
      <c r="G43" s="116">
        <v>265308.31549840636</v>
      </c>
      <c r="H43" s="116">
        <v>969877.34303725953</v>
      </c>
      <c r="I43" s="113">
        <v>256</v>
      </c>
      <c r="J43" s="117" t="s">
        <v>248</v>
      </c>
      <c r="K43" s="118"/>
      <c r="L43" s="119">
        <v>0</v>
      </c>
      <c r="M43" s="120">
        <v>955329.18289170065</v>
      </c>
      <c r="N43" s="121">
        <v>8</v>
      </c>
      <c r="O43" s="122">
        <v>30817.070415861312</v>
      </c>
      <c r="P43" s="123">
        <v>986146.25330756197</v>
      </c>
      <c r="Q43" s="124"/>
      <c r="R43" s="135">
        <v>1075179.8121903543</v>
      </c>
      <c r="S43" s="136"/>
      <c r="T43" s="137"/>
      <c r="U43" s="138">
        <v>102961.98032</v>
      </c>
      <c r="V43" s="138">
        <v>972217.83187035436</v>
      </c>
      <c r="W43" s="139">
        <v>13928.421437207609</v>
      </c>
      <c r="X43" s="139">
        <v>1089108.2336275619</v>
      </c>
      <c r="Z43" s="146"/>
      <c r="AA43" s="147"/>
      <c r="AB43" s="146"/>
      <c r="AC43" s="146"/>
      <c r="AD43" s="148">
        <f>VLOOKUP($B43,'Delegation in 13-14'!$B:$N,13,FALSE)</f>
        <v>18691.433751688914</v>
      </c>
      <c r="AE43" s="149"/>
      <c r="AF43" s="5">
        <f t="shared" si="0"/>
        <v>3925.1472150751988</v>
      </c>
      <c r="AG43" s="5">
        <f t="shared" si="1"/>
        <v>3986.1644225360824</v>
      </c>
      <c r="AH43" s="6"/>
      <c r="AI43" s="1"/>
      <c r="AJ43" s="148">
        <f>VLOOKUP($B43,'Delegation in 13-14'!$B:$N,13,FALSE)</f>
        <v>18691.433751688914</v>
      </c>
      <c r="AK43" s="149"/>
      <c r="AL43" s="5">
        <f t="shared" si="2"/>
        <v>3870.7393188361066</v>
      </c>
      <c r="AM43" s="5">
        <f t="shared" si="3"/>
        <v>3930.0014328699226</v>
      </c>
      <c r="AN43" s="1"/>
      <c r="AO43" s="5"/>
      <c r="AP43" s="1"/>
    </row>
    <row r="44" spans="2:42" ht="15.75" x14ac:dyDescent="0.25">
      <c r="B44" s="133">
        <v>2433</v>
      </c>
      <c r="C44" s="134" t="s">
        <v>56</v>
      </c>
      <c r="D44" s="113">
        <v>148</v>
      </c>
      <c r="E44" s="114" t="s">
        <v>5</v>
      </c>
      <c r="F44" s="115">
        <v>1370790.0067197359</v>
      </c>
      <c r="G44" s="116">
        <v>784944.18672319211</v>
      </c>
      <c r="H44" s="116">
        <v>585845.81999654381</v>
      </c>
      <c r="I44" s="113">
        <v>148</v>
      </c>
      <c r="J44" s="117" t="s">
        <v>248</v>
      </c>
      <c r="K44" s="118"/>
      <c r="L44" s="119">
        <v>0</v>
      </c>
      <c r="M44" s="120">
        <v>577058.13269659563</v>
      </c>
      <c r="N44" s="121">
        <v>0</v>
      </c>
      <c r="O44" s="122">
        <v>0</v>
      </c>
      <c r="P44" s="123">
        <v>577058.13269659563</v>
      </c>
      <c r="Q44" s="124"/>
      <c r="R44" s="135">
        <v>608907.31243894831</v>
      </c>
      <c r="S44" s="136"/>
      <c r="T44" s="137"/>
      <c r="U44" s="138">
        <v>107978.36</v>
      </c>
      <c r="V44" s="138">
        <v>500928.95243894833</v>
      </c>
      <c r="W44" s="139">
        <v>76129.180257647298</v>
      </c>
      <c r="X44" s="139">
        <v>685036.49269659561</v>
      </c>
      <c r="Z44" s="146"/>
      <c r="AA44" s="147"/>
      <c r="AB44" s="146"/>
      <c r="AC44" s="146"/>
      <c r="AD44" s="148">
        <f>VLOOKUP($B44,'Delegation in 13-14'!$B:$N,13,FALSE)</f>
        <v>10805.985137695154</v>
      </c>
      <c r="AE44" s="149"/>
      <c r="AF44" s="5">
        <f t="shared" si="0"/>
        <v>3972.0548502316942</v>
      </c>
      <c r="AG44" s="5">
        <f t="shared" si="1"/>
        <v>4031.4311157718844</v>
      </c>
      <c r="AH44" s="6"/>
      <c r="AI44" s="1"/>
      <c r="AJ44" s="148">
        <f>VLOOKUP($B44,'Delegation in 13-14'!$B:$N,13,FALSE)</f>
        <v>10805.985137695154</v>
      </c>
      <c r="AK44" s="149"/>
      <c r="AL44" s="5">
        <f t="shared" si="2"/>
        <v>3457.6684971394825</v>
      </c>
      <c r="AM44" s="5">
        <f t="shared" si="3"/>
        <v>3517.0447626796731</v>
      </c>
      <c r="AN44" s="1"/>
      <c r="AO44" s="5"/>
      <c r="AP44" s="1"/>
    </row>
    <row r="45" spans="2:42" ht="15.75" x14ac:dyDescent="0.25">
      <c r="B45" s="133">
        <v>2432</v>
      </c>
      <c r="C45" s="134" t="s">
        <v>57</v>
      </c>
      <c r="D45" s="113">
        <v>175</v>
      </c>
      <c r="E45" s="114" t="s">
        <v>5</v>
      </c>
      <c r="F45" s="115">
        <v>1480126.7734234058</v>
      </c>
      <c r="G45" s="116">
        <v>829305.57407914801</v>
      </c>
      <c r="H45" s="116">
        <v>650821.19934425782</v>
      </c>
      <c r="I45" s="113">
        <v>201</v>
      </c>
      <c r="J45" s="117" t="s">
        <v>248</v>
      </c>
      <c r="K45" s="118"/>
      <c r="L45" s="119">
        <v>0</v>
      </c>
      <c r="M45" s="120">
        <v>641058.8813540939</v>
      </c>
      <c r="N45" s="121">
        <v>26</v>
      </c>
      <c r="O45" s="122">
        <v>95243.03380117967</v>
      </c>
      <c r="P45" s="123">
        <v>736301.91515527363</v>
      </c>
      <c r="Q45" s="124"/>
      <c r="R45" s="135">
        <v>809554.3313662319</v>
      </c>
      <c r="S45" s="136"/>
      <c r="T45" s="137"/>
      <c r="U45" s="138">
        <v>107978.36</v>
      </c>
      <c r="V45" s="138">
        <v>701575.97136623191</v>
      </c>
      <c r="W45" s="139">
        <v>34725.943789041718</v>
      </c>
      <c r="X45" s="139">
        <v>844280.27515527362</v>
      </c>
      <c r="Z45" s="146"/>
      <c r="AA45" s="147"/>
      <c r="AB45" s="146"/>
      <c r="AC45" s="146"/>
      <c r="AD45" s="148">
        <f>VLOOKUP($B45,'Delegation in 13-14'!$B:$N,13,FALSE)</f>
        <v>14675.696031599498</v>
      </c>
      <c r="AE45" s="149"/>
      <c r="AF45" s="5">
        <f t="shared" si="0"/>
        <v>3736.2070208302148</v>
      </c>
      <c r="AG45" s="5">
        <f t="shared" si="1"/>
        <v>3802.8394021477566</v>
      </c>
      <c r="AH45" s="6"/>
      <c r="AI45" s="1"/>
      <c r="AJ45" s="148">
        <f>VLOOKUP($B45,'Delegation in 13-14'!$B:$N,13,FALSE)</f>
        <v>14675.696031599498</v>
      </c>
      <c r="AK45" s="149"/>
      <c r="AL45" s="5">
        <f t="shared" si="2"/>
        <v>3563.4411313324949</v>
      </c>
      <c r="AM45" s="5">
        <f t="shared" si="3"/>
        <v>3604.4054376389468</v>
      </c>
      <c r="AN45" s="1"/>
      <c r="AO45" s="5"/>
      <c r="AP45" s="1"/>
    </row>
    <row r="46" spans="2:42" ht="15.75" x14ac:dyDescent="0.25">
      <c r="B46" s="133">
        <v>2446</v>
      </c>
      <c r="C46" s="134" t="s">
        <v>58</v>
      </c>
      <c r="D46" s="113">
        <v>165</v>
      </c>
      <c r="E46" s="114" t="s">
        <v>5</v>
      </c>
      <c r="F46" s="115">
        <v>813711.72078300745</v>
      </c>
      <c r="G46" s="116">
        <v>250536.74693167087</v>
      </c>
      <c r="H46" s="116">
        <v>563174.97385133663</v>
      </c>
      <c r="I46" s="113">
        <v>171</v>
      </c>
      <c r="J46" s="117" t="s">
        <v>248</v>
      </c>
      <c r="K46" s="118"/>
      <c r="L46" s="119">
        <v>0</v>
      </c>
      <c r="M46" s="120">
        <v>554727.34924356663</v>
      </c>
      <c r="N46" s="121">
        <v>6</v>
      </c>
      <c r="O46" s="122">
        <v>20171.90360885697</v>
      </c>
      <c r="P46" s="123">
        <v>574899.25285242358</v>
      </c>
      <c r="Q46" s="124"/>
      <c r="R46" s="135">
        <v>669293.19227977714</v>
      </c>
      <c r="S46" s="136"/>
      <c r="T46" s="137"/>
      <c r="U46" s="138">
        <v>108811.92</v>
      </c>
      <c r="V46" s="138">
        <v>560481.2722797771</v>
      </c>
      <c r="W46" s="139">
        <v>14417.980572646484</v>
      </c>
      <c r="X46" s="139">
        <v>683711.17285242362</v>
      </c>
      <c r="Z46" s="146"/>
      <c r="AA46" s="147"/>
      <c r="AB46" s="146"/>
      <c r="AC46" s="146"/>
      <c r="AD46" s="148" t="e">
        <f>VLOOKUP($B46,'Delegation in 13-14'!$B:$N,13,FALSE)</f>
        <v>#N/A</v>
      </c>
      <c r="AE46" s="149"/>
      <c r="AF46" s="5" t="e">
        <f t="shared" si="0"/>
        <v>#N/A</v>
      </c>
      <c r="AG46" s="5" t="e">
        <f t="shared" si="1"/>
        <v>#N/A</v>
      </c>
      <c r="AH46" s="6"/>
      <c r="AI46" s="1"/>
      <c r="AJ46" s="148" t="e">
        <f>VLOOKUP($B46,'Delegation in 13-14'!$B:$N,13,FALSE)</f>
        <v>#N/A</v>
      </c>
      <c r="AK46" s="149"/>
      <c r="AL46" s="5" t="e">
        <f t="shared" si="2"/>
        <v>#N/A</v>
      </c>
      <c r="AM46" s="5" t="e">
        <f t="shared" si="3"/>
        <v>#N/A</v>
      </c>
      <c r="AN46" s="1"/>
      <c r="AO46" s="5"/>
      <c r="AP46" s="1"/>
    </row>
    <row r="47" spans="2:42" ht="15.75" x14ac:dyDescent="0.25">
      <c r="B47" s="133">
        <v>2447</v>
      </c>
      <c r="C47" s="134" t="s">
        <v>59</v>
      </c>
      <c r="D47" s="113">
        <v>211</v>
      </c>
      <c r="E47" s="114" t="s">
        <v>5</v>
      </c>
      <c r="F47" s="115">
        <v>833952.48401674104</v>
      </c>
      <c r="G47" s="116">
        <v>109474</v>
      </c>
      <c r="H47" s="116">
        <v>724478.48401674104</v>
      </c>
      <c r="I47" s="113">
        <v>210</v>
      </c>
      <c r="J47" s="117" t="s">
        <v>248</v>
      </c>
      <c r="K47" s="118"/>
      <c r="L47" s="119">
        <v>0</v>
      </c>
      <c r="M47" s="120">
        <v>713611.30675648991</v>
      </c>
      <c r="N47" s="121">
        <v>-1</v>
      </c>
      <c r="O47" s="122">
        <v>-3382.0441078506633</v>
      </c>
      <c r="P47" s="123">
        <v>710229.26264863927</v>
      </c>
      <c r="Q47" s="124"/>
      <c r="R47" s="135">
        <v>797245.75319319195</v>
      </c>
      <c r="S47" s="136"/>
      <c r="T47" s="137"/>
      <c r="U47" s="138">
        <v>108811.92</v>
      </c>
      <c r="V47" s="138">
        <v>688433.83319319191</v>
      </c>
      <c r="W47" s="139">
        <v>21795.42945544736</v>
      </c>
      <c r="X47" s="139">
        <v>819041.18264863931</v>
      </c>
      <c r="Z47" s="146"/>
      <c r="AA47" s="147"/>
      <c r="AB47" s="146"/>
      <c r="AC47" s="146"/>
      <c r="AD47" s="148">
        <f>VLOOKUP($B47,'Delegation in 13-14'!$B:$N,13,FALSE)</f>
        <v>27818.110388255765</v>
      </c>
      <c r="AE47" s="149"/>
      <c r="AF47" s="5">
        <f t="shared" si="0"/>
        <v>3514.5113001756908</v>
      </c>
      <c r="AG47" s="5">
        <f t="shared" si="1"/>
        <v>3565.3867033412171</v>
      </c>
      <c r="AH47" s="6"/>
      <c r="AI47" s="1"/>
      <c r="AJ47" s="148">
        <f>VLOOKUP($B47,'Delegation in 13-14'!$B:$N,13,FALSE)</f>
        <v>27818.110388255765</v>
      </c>
      <c r="AK47" s="149"/>
      <c r="AL47" s="5">
        <f t="shared" si="2"/>
        <v>3410.7235408640367</v>
      </c>
      <c r="AM47" s="5">
        <f t="shared" si="3"/>
        <v>3462.090829144784</v>
      </c>
      <c r="AN47" s="1"/>
      <c r="AO47" s="5"/>
      <c r="AP47" s="1"/>
    </row>
    <row r="48" spans="2:42" ht="15.75" x14ac:dyDescent="0.25">
      <c r="B48" s="133">
        <v>2512</v>
      </c>
      <c r="C48" s="134" t="s">
        <v>60</v>
      </c>
      <c r="D48" s="113">
        <v>203</v>
      </c>
      <c r="E48" s="114" t="s">
        <v>5</v>
      </c>
      <c r="F48" s="115">
        <v>779896.72540445731</v>
      </c>
      <c r="G48" s="116">
        <v>179264.642146375</v>
      </c>
      <c r="H48" s="116">
        <v>600632.08325808228</v>
      </c>
      <c r="I48" s="113">
        <v>203</v>
      </c>
      <c r="J48" s="117" t="s">
        <v>248</v>
      </c>
      <c r="K48" s="118"/>
      <c r="L48" s="119">
        <v>0</v>
      </c>
      <c r="M48" s="120">
        <v>591622.60200921108</v>
      </c>
      <c r="N48" s="121">
        <v>0</v>
      </c>
      <c r="O48" s="122">
        <v>0</v>
      </c>
      <c r="P48" s="123">
        <v>591622.60200921108</v>
      </c>
      <c r="Q48" s="124"/>
      <c r="R48" s="135">
        <v>694752.75674915477</v>
      </c>
      <c r="S48" s="136"/>
      <c r="T48" s="137"/>
      <c r="U48" s="138">
        <v>115004.08</v>
      </c>
      <c r="V48" s="138">
        <v>579748.67674915481</v>
      </c>
      <c r="W48" s="139">
        <v>11873.925260056276</v>
      </c>
      <c r="X48" s="139">
        <v>706626.68200921104</v>
      </c>
      <c r="Z48" s="146"/>
      <c r="AA48" s="147"/>
      <c r="AB48" s="146"/>
      <c r="AC48" s="146"/>
      <c r="AD48" s="148">
        <f>VLOOKUP($B48,'Delegation in 13-14'!$B:$N,13,FALSE)</f>
        <v>14821.722857784569</v>
      </c>
      <c r="AE48" s="149"/>
      <c r="AF48" s="5">
        <f t="shared" si="0"/>
        <v>2987.4104673251018</v>
      </c>
      <c r="AG48" s="5">
        <f t="shared" si="1"/>
        <v>3031.792148354024</v>
      </c>
      <c r="AH48" s="6"/>
      <c r="AI48" s="1"/>
      <c r="AJ48" s="148">
        <f>VLOOKUP($B48,'Delegation in 13-14'!$B:$N,13,FALSE)</f>
        <v>14821.722857784569</v>
      </c>
      <c r="AK48" s="149"/>
      <c r="AL48" s="5">
        <f t="shared" si="2"/>
        <v>2928.918224664726</v>
      </c>
      <c r="AM48" s="5">
        <f t="shared" si="3"/>
        <v>2973.2999056936483</v>
      </c>
      <c r="AN48" s="1"/>
      <c r="AO48" s="5"/>
      <c r="AP48" s="1"/>
    </row>
    <row r="49" spans="2:42" ht="15.75" x14ac:dyDescent="0.25">
      <c r="B49" s="133">
        <v>2456</v>
      </c>
      <c r="C49" s="134" t="s">
        <v>61</v>
      </c>
      <c r="D49" s="113">
        <v>176</v>
      </c>
      <c r="E49" s="114" t="s">
        <v>5</v>
      </c>
      <c r="F49" s="115">
        <v>746018.52786890382</v>
      </c>
      <c r="G49" s="116">
        <v>239283.12208922161</v>
      </c>
      <c r="H49" s="116">
        <v>506735.40577968222</v>
      </c>
      <c r="I49" s="113">
        <v>178</v>
      </c>
      <c r="J49" s="117" t="s">
        <v>248</v>
      </c>
      <c r="K49" s="118"/>
      <c r="L49" s="119">
        <v>0</v>
      </c>
      <c r="M49" s="120">
        <v>499134.37469298695</v>
      </c>
      <c r="N49" s="121">
        <v>2</v>
      </c>
      <c r="O49" s="122">
        <v>5671.9815306021246</v>
      </c>
      <c r="P49" s="123">
        <v>504806.3562235891</v>
      </c>
      <c r="Q49" s="124"/>
      <c r="R49" s="135">
        <v>614079.0457381045</v>
      </c>
      <c r="S49" s="136"/>
      <c r="T49" s="137"/>
      <c r="U49" s="138">
        <v>108931</v>
      </c>
      <c r="V49" s="138">
        <v>505148.0457381045</v>
      </c>
      <c r="W49" s="139">
        <v>0</v>
      </c>
      <c r="X49" s="139">
        <v>614079.0457381045</v>
      </c>
      <c r="Z49" s="146"/>
      <c r="AA49" s="147"/>
      <c r="AB49" s="146"/>
      <c r="AC49" s="146"/>
      <c r="AD49" s="148">
        <f>VLOOKUP($B49,'Delegation in 13-14'!$B:$N,13,FALSE)</f>
        <v>12996.387530471198</v>
      </c>
      <c r="AE49" s="149"/>
      <c r="AF49" s="5">
        <f t="shared" si="0"/>
        <v>2910.9237824077286</v>
      </c>
      <c r="AG49" s="5">
        <f t="shared" si="1"/>
        <v>2953.0215528985991</v>
      </c>
      <c r="AH49" s="6"/>
      <c r="AI49" s="1"/>
      <c r="AJ49" s="148">
        <f>VLOOKUP($B49,'Delegation in 13-14'!$B:$N,13,FALSE)</f>
        <v>12996.387530471198</v>
      </c>
      <c r="AK49" s="149"/>
      <c r="AL49" s="5">
        <f t="shared" si="2"/>
        <v>2910.9237824077286</v>
      </c>
      <c r="AM49" s="5">
        <f t="shared" si="3"/>
        <v>2953.0215528985991</v>
      </c>
      <c r="AN49" s="1"/>
      <c r="AO49" s="5"/>
      <c r="AP49" s="1"/>
    </row>
    <row r="50" spans="2:42" ht="15.75" x14ac:dyDescent="0.25">
      <c r="B50" s="133">
        <v>2449</v>
      </c>
      <c r="C50" s="134" t="s">
        <v>62</v>
      </c>
      <c r="D50" s="113">
        <v>259</v>
      </c>
      <c r="E50" s="114" t="s">
        <v>5</v>
      </c>
      <c r="F50" s="115">
        <v>1115536.384169484</v>
      </c>
      <c r="G50" s="116">
        <v>306118.27327362838</v>
      </c>
      <c r="H50" s="116">
        <v>809418.11089585559</v>
      </c>
      <c r="I50" s="113">
        <v>259</v>
      </c>
      <c r="J50" s="117" t="s">
        <v>248</v>
      </c>
      <c r="K50" s="118"/>
      <c r="L50" s="119">
        <v>0</v>
      </c>
      <c r="M50" s="120">
        <v>797276.83923241775</v>
      </c>
      <c r="N50" s="121">
        <v>0</v>
      </c>
      <c r="O50" s="122">
        <v>0</v>
      </c>
      <c r="P50" s="123">
        <v>797276.83923241775</v>
      </c>
      <c r="Q50" s="124"/>
      <c r="R50" s="135">
        <v>894558.08350405504</v>
      </c>
      <c r="S50" s="136"/>
      <c r="T50" s="137"/>
      <c r="U50" s="138">
        <v>111550.76</v>
      </c>
      <c r="V50" s="138">
        <v>783007.32350405504</v>
      </c>
      <c r="W50" s="139">
        <v>14269.51572836272</v>
      </c>
      <c r="X50" s="139">
        <v>908827.59923241776</v>
      </c>
      <c r="Z50" s="146"/>
      <c r="AA50" s="147"/>
      <c r="AB50" s="146"/>
      <c r="AC50" s="146"/>
      <c r="AD50" s="148">
        <f>VLOOKUP($B50,'Delegation in 13-14'!$B:$N,13,FALSE)</f>
        <v>18910.473990966519</v>
      </c>
      <c r="AE50" s="149"/>
      <c r="AF50" s="5">
        <f t="shared" si="0"/>
        <v>3151.3023676578546</v>
      </c>
      <c r="AG50" s="5">
        <f t="shared" si="1"/>
        <v>3198.1798644278847</v>
      </c>
      <c r="AH50" s="6"/>
      <c r="AI50" s="1"/>
      <c r="AJ50" s="148">
        <f>VLOOKUP($B50,'Delegation in 13-14'!$B:$N,13,FALSE)</f>
        <v>18910.473990966519</v>
      </c>
      <c r="AK50" s="149"/>
      <c r="AL50" s="5">
        <f t="shared" si="2"/>
        <v>3096.2077123359909</v>
      </c>
      <c r="AM50" s="5">
        <f t="shared" si="3"/>
        <v>3143.085209106021</v>
      </c>
      <c r="AN50" s="1"/>
      <c r="AO50" s="5"/>
      <c r="AP50" s="1"/>
    </row>
    <row r="51" spans="2:42" ht="15.75" x14ac:dyDescent="0.25">
      <c r="B51" s="133">
        <v>2448</v>
      </c>
      <c r="C51" s="134" t="s">
        <v>63</v>
      </c>
      <c r="D51" s="113">
        <v>319</v>
      </c>
      <c r="E51" s="114" t="s">
        <v>5</v>
      </c>
      <c r="F51" s="115">
        <v>1110320.9318747274</v>
      </c>
      <c r="G51" s="116">
        <v>134518.06745408388</v>
      </c>
      <c r="H51" s="116">
        <v>975802.86442064354</v>
      </c>
      <c r="I51" s="113">
        <v>316</v>
      </c>
      <c r="J51" s="117" t="s">
        <v>248</v>
      </c>
      <c r="K51" s="118"/>
      <c r="L51" s="119">
        <v>0</v>
      </c>
      <c r="M51" s="120">
        <v>961165.82145433384</v>
      </c>
      <c r="N51" s="121">
        <v>-3</v>
      </c>
      <c r="O51" s="122">
        <v>-9039.1770042727312</v>
      </c>
      <c r="P51" s="123">
        <v>952126.64445006114</v>
      </c>
      <c r="Q51" s="124"/>
      <c r="R51" s="135">
        <v>1084093.9624743268</v>
      </c>
      <c r="S51" s="136"/>
      <c r="T51" s="137"/>
      <c r="U51" s="138">
        <v>117028.44</v>
      </c>
      <c r="V51" s="138">
        <v>967065.52247432689</v>
      </c>
      <c r="W51" s="139">
        <v>0</v>
      </c>
      <c r="X51" s="139">
        <v>1084093.9624743268</v>
      </c>
      <c r="Z51" s="146"/>
      <c r="AA51" s="147"/>
      <c r="AB51" s="146"/>
      <c r="AC51" s="146"/>
      <c r="AD51" s="148">
        <f>VLOOKUP($B51,'Delegation in 13-14'!$B:$N,13,FALSE)</f>
        <v>23072.238537241003</v>
      </c>
      <c r="AE51" s="149"/>
      <c r="AF51" s="5">
        <f t="shared" si="0"/>
        <v>3133.347344973316</v>
      </c>
      <c r="AG51" s="5">
        <f t="shared" si="1"/>
        <v>3131.2699152284781</v>
      </c>
      <c r="AH51" s="6"/>
      <c r="AI51" s="1"/>
      <c r="AJ51" s="148">
        <f>VLOOKUP($B51,'Delegation in 13-14'!$B:$N,13,FALSE)</f>
        <v>23072.238537241003</v>
      </c>
      <c r="AK51" s="149"/>
      <c r="AL51" s="5">
        <f t="shared" si="2"/>
        <v>3133.347344973316</v>
      </c>
      <c r="AM51" s="5">
        <f t="shared" si="3"/>
        <v>3131.2699152284781</v>
      </c>
      <c r="AN51" s="1"/>
      <c r="AO51" s="5"/>
      <c r="AP51" s="1"/>
    </row>
    <row r="52" spans="2:42" s="170" customFormat="1" ht="15.75" x14ac:dyDescent="0.25">
      <c r="B52" s="152">
        <v>2467</v>
      </c>
      <c r="C52" s="153" t="s">
        <v>64</v>
      </c>
      <c r="D52" s="154">
        <v>341</v>
      </c>
      <c r="E52" s="155" t="s">
        <v>5</v>
      </c>
      <c r="F52" s="115">
        <v>1436309.1374055892</v>
      </c>
      <c r="G52" s="116">
        <v>271437.82518309995</v>
      </c>
      <c r="H52" s="156">
        <v>1164871.3122224892</v>
      </c>
      <c r="I52" s="113">
        <v>349</v>
      </c>
      <c r="J52" s="157" t="s">
        <v>248</v>
      </c>
      <c r="K52" s="158"/>
      <c r="L52" s="159"/>
      <c r="M52" s="160">
        <v>1147398.2425391518</v>
      </c>
      <c r="N52" s="161">
        <v>8</v>
      </c>
      <c r="O52" s="162">
        <v>26918.433842560746</v>
      </c>
      <c r="P52" s="163">
        <v>1174316.6763817125</v>
      </c>
      <c r="Q52" s="164"/>
      <c r="R52" s="135">
        <v>1173295.8492491071</v>
      </c>
      <c r="S52" s="165"/>
      <c r="T52" s="166"/>
      <c r="U52" s="167">
        <v>112741.56</v>
      </c>
      <c r="V52" s="167">
        <v>1060554.289249107</v>
      </c>
      <c r="W52" s="168">
        <v>113762.38713260554</v>
      </c>
      <c r="X52" s="168">
        <v>1287058.2363817126</v>
      </c>
      <c r="Y52" s="169"/>
      <c r="Z52" s="146"/>
      <c r="AA52" s="147"/>
      <c r="AB52" s="146"/>
      <c r="AC52" s="146"/>
      <c r="AD52" s="148">
        <f>VLOOKUP($B52,'Delegation in 13-14'!$B:$N,13,FALSE)</f>
        <v>25481.68116929465</v>
      </c>
      <c r="AE52" s="149"/>
      <c r="AF52" s="5">
        <f t="shared" si="0"/>
        <v>3437.8176434126285</v>
      </c>
      <c r="AG52" s="5">
        <f t="shared" si="1"/>
        <v>3490.7712416181348</v>
      </c>
      <c r="AH52" s="6"/>
      <c r="AI52" s="1"/>
      <c r="AJ52" s="148">
        <f>VLOOKUP($B52,'Delegation in 13-14'!$B:$N,13,FALSE)</f>
        <v>25481.68116929465</v>
      </c>
      <c r="AK52" s="149"/>
      <c r="AL52" s="5">
        <f t="shared" si="2"/>
        <v>3111.8509181043032</v>
      </c>
      <c r="AM52" s="5">
        <f t="shared" si="3"/>
        <v>3157.157203106095</v>
      </c>
      <c r="AN52" s="3"/>
      <c r="AO52" s="5"/>
      <c r="AP52" s="3"/>
    </row>
    <row r="53" spans="2:42" ht="15.75" x14ac:dyDescent="0.25">
      <c r="B53" s="133">
        <v>2455</v>
      </c>
      <c r="C53" s="134" t="s">
        <v>65</v>
      </c>
      <c r="D53" s="113">
        <v>358</v>
      </c>
      <c r="E53" s="114" t="s">
        <v>5</v>
      </c>
      <c r="F53" s="115">
        <v>1222358.1723243415</v>
      </c>
      <c r="G53" s="116">
        <v>187573.09768048476</v>
      </c>
      <c r="H53" s="116">
        <v>1034785.0746438567</v>
      </c>
      <c r="I53" s="113">
        <v>360</v>
      </c>
      <c r="J53" s="117" t="s">
        <v>248</v>
      </c>
      <c r="K53" s="118"/>
      <c r="L53" s="119">
        <v>0</v>
      </c>
      <c r="M53" s="120">
        <v>1019263.2985241988</v>
      </c>
      <c r="N53" s="121">
        <v>2</v>
      </c>
      <c r="O53" s="122">
        <v>5694.2083716435691</v>
      </c>
      <c r="P53" s="123">
        <v>1024957.5068958424</v>
      </c>
      <c r="Q53" s="124"/>
      <c r="R53" s="135">
        <v>1116699.0807007842</v>
      </c>
      <c r="S53" s="136"/>
      <c r="T53" s="137"/>
      <c r="U53" s="138">
        <v>124768.64</v>
      </c>
      <c r="V53" s="138">
        <v>991930.44070078421</v>
      </c>
      <c r="W53" s="139">
        <v>33027.066195058171</v>
      </c>
      <c r="X53" s="139">
        <v>1149726.1468958424</v>
      </c>
      <c r="Z53" s="146"/>
      <c r="AA53" s="147"/>
      <c r="AB53" s="146"/>
      <c r="AC53" s="146"/>
      <c r="AD53" s="148">
        <f>VLOOKUP($B53,'Delegation in 13-14'!$B:$N,13,FALSE)</f>
        <v>26284.828713312534</v>
      </c>
      <c r="AE53" s="149"/>
      <c r="AF53" s="5">
        <f t="shared" si="0"/>
        <v>2920.1175989143194</v>
      </c>
      <c r="AG53" s="5">
        <f t="shared" si="1"/>
        <v>2963.882411612205</v>
      </c>
      <c r="AH53" s="6"/>
      <c r="AI53" s="1"/>
      <c r="AJ53" s="148">
        <f>VLOOKUP($B53,'Delegation in 13-14'!$B:$N,13,FALSE)</f>
        <v>26284.828713312534</v>
      </c>
      <c r="AK53" s="149"/>
      <c r="AL53" s="5">
        <f t="shared" si="2"/>
        <v>2828.3757483724912</v>
      </c>
      <c r="AM53" s="5">
        <f t="shared" si="3"/>
        <v>2871.6280367656736</v>
      </c>
      <c r="AN53" s="1"/>
      <c r="AO53" s="5"/>
      <c r="AP53" s="1"/>
    </row>
    <row r="54" spans="2:42" ht="15.75" x14ac:dyDescent="0.25">
      <c r="B54" s="133">
        <v>5203</v>
      </c>
      <c r="C54" s="134" t="s">
        <v>66</v>
      </c>
      <c r="D54" s="113">
        <v>480</v>
      </c>
      <c r="E54" s="114" t="s">
        <v>5</v>
      </c>
      <c r="F54" s="115">
        <v>1530911.2032978216</v>
      </c>
      <c r="G54" s="116">
        <v>128218.08094490063</v>
      </c>
      <c r="H54" s="116">
        <v>1402693.1223529209</v>
      </c>
      <c r="I54" s="113">
        <v>482</v>
      </c>
      <c r="J54" s="117" t="s">
        <v>248</v>
      </c>
      <c r="K54" s="118"/>
      <c r="L54" s="119">
        <v>0</v>
      </c>
      <c r="M54" s="120">
        <v>1381652.7255176271</v>
      </c>
      <c r="N54" s="121">
        <v>2</v>
      </c>
      <c r="O54" s="122">
        <v>5756.8863563234463</v>
      </c>
      <c r="P54" s="123">
        <v>1387409.6118739506</v>
      </c>
      <c r="Q54" s="124"/>
      <c r="R54" s="135">
        <v>1442268.1331518581</v>
      </c>
      <c r="S54" s="136"/>
      <c r="T54" s="137"/>
      <c r="U54" s="138">
        <v>104418.54399999999</v>
      </c>
      <c r="V54" s="138">
        <v>1337849.5891518581</v>
      </c>
      <c r="W54" s="139">
        <v>49560.022722092457</v>
      </c>
      <c r="X54" s="139">
        <v>1491828.1558739506</v>
      </c>
      <c r="Z54" s="146"/>
      <c r="AA54" s="147"/>
      <c r="AB54" s="146"/>
      <c r="AC54" s="146"/>
      <c r="AD54" s="148">
        <f>VLOOKUP($B54,'Delegation in 13-14'!$B:$N,13,FALSE)</f>
        <v>35192.465110601785</v>
      </c>
      <c r="AE54" s="149"/>
      <c r="AF54" s="5">
        <f t="shared" si="0"/>
        <v>2951.456591254258</v>
      </c>
      <c r="AG54" s="5">
        <f t="shared" si="1"/>
        <v>2995.5949738823392</v>
      </c>
      <c r="AH54" s="6"/>
      <c r="AI54" s="1"/>
      <c r="AJ54" s="148">
        <f>VLOOKUP($B54,'Delegation in 13-14'!$B:$N,13,FALSE)</f>
        <v>35192.465110601785</v>
      </c>
      <c r="AK54" s="149"/>
      <c r="AL54" s="5">
        <f t="shared" si="2"/>
        <v>2848.6349673495019</v>
      </c>
      <c r="AM54" s="5">
        <f t="shared" si="3"/>
        <v>2892.3449265446466</v>
      </c>
      <c r="AN54" s="1"/>
      <c r="AO54" s="5"/>
      <c r="AP54" s="1"/>
    </row>
    <row r="55" spans="2:42" ht="15.75" x14ac:dyDescent="0.25">
      <c r="B55" s="133">
        <v>2451</v>
      </c>
      <c r="C55" s="134" t="s">
        <v>67</v>
      </c>
      <c r="D55" s="113">
        <v>436</v>
      </c>
      <c r="E55" s="114" t="s">
        <v>5</v>
      </c>
      <c r="F55" s="115">
        <v>1598988.9677195586</v>
      </c>
      <c r="G55" s="116">
        <v>274744.76244607719</v>
      </c>
      <c r="H55" s="116">
        <v>1324244.2052734816</v>
      </c>
      <c r="I55" s="113">
        <v>450</v>
      </c>
      <c r="J55" s="117" t="s">
        <v>248</v>
      </c>
      <c r="K55" s="118"/>
      <c r="L55" s="119">
        <v>0</v>
      </c>
      <c r="M55" s="120">
        <v>1304380.5421943793</v>
      </c>
      <c r="N55" s="121">
        <v>14</v>
      </c>
      <c r="O55" s="122">
        <v>41883.778877801167</v>
      </c>
      <c r="P55" s="123">
        <v>1346264.3210721805</v>
      </c>
      <c r="Q55" s="124"/>
      <c r="R55" s="135">
        <v>1425604.9300241238</v>
      </c>
      <c r="S55" s="136"/>
      <c r="T55" s="137"/>
      <c r="U55" s="138">
        <v>122982.44</v>
      </c>
      <c r="V55" s="138">
        <v>1302622.4900241238</v>
      </c>
      <c r="W55" s="139">
        <v>43641.831048056716</v>
      </c>
      <c r="X55" s="139">
        <v>1469246.7610721805</v>
      </c>
      <c r="Z55" s="146"/>
      <c r="AA55" s="147"/>
      <c r="AB55" s="146"/>
      <c r="AC55" s="146"/>
      <c r="AD55" s="148">
        <f>VLOOKUP($B55,'Delegation in 13-14'!$B:$N,13,FALSE)</f>
        <v>32856.035891640669</v>
      </c>
      <c r="AE55" s="149"/>
      <c r="AF55" s="5">
        <f t="shared" si="0"/>
        <v>3064.7119043640473</v>
      </c>
      <c r="AG55" s="5">
        <f t="shared" si="1"/>
        <v>3112.6152320300971</v>
      </c>
      <c r="AH55" s="6"/>
      <c r="AI55" s="1"/>
      <c r="AJ55" s="148">
        <f>VLOOKUP($B55,'Delegation in 13-14'!$B:$N,13,FALSE)</f>
        <v>32856.035891640669</v>
      </c>
      <c r="AK55" s="149"/>
      <c r="AL55" s="5">
        <f t="shared" si="2"/>
        <v>2967.7300575905879</v>
      </c>
      <c r="AM55" s="5">
        <f t="shared" si="3"/>
        <v>3012.5192892593245</v>
      </c>
      <c r="AN55" s="1"/>
      <c r="AO55" s="5"/>
      <c r="AP55" s="1"/>
    </row>
    <row r="56" spans="2:42" ht="15.75" x14ac:dyDescent="0.25">
      <c r="B56" s="133">
        <v>2409</v>
      </c>
      <c r="C56" s="134" t="s">
        <v>68</v>
      </c>
      <c r="D56" s="113">
        <v>546</v>
      </c>
      <c r="E56" s="114" t="s">
        <v>5</v>
      </c>
      <c r="F56" s="115">
        <v>2329391.7279238617</v>
      </c>
      <c r="G56" s="116">
        <v>192383.72982567071</v>
      </c>
      <c r="H56" s="116">
        <v>2137007.9980981909</v>
      </c>
      <c r="I56" s="113">
        <v>550</v>
      </c>
      <c r="J56" s="117" t="s">
        <v>248</v>
      </c>
      <c r="K56" s="118"/>
      <c r="L56" s="119">
        <v>0</v>
      </c>
      <c r="M56" s="120">
        <v>2104952.8781267181</v>
      </c>
      <c r="N56" s="121">
        <v>4</v>
      </c>
      <c r="O56" s="122">
        <v>15420.900206056544</v>
      </c>
      <c r="P56" s="123">
        <v>2120373.7783327745</v>
      </c>
      <c r="Q56" s="124"/>
      <c r="R56" s="135">
        <v>2049668.9900225785</v>
      </c>
      <c r="S56" s="136"/>
      <c r="T56" s="137"/>
      <c r="U56" s="138">
        <v>131675.28</v>
      </c>
      <c r="V56" s="138">
        <v>1917993.7100225785</v>
      </c>
      <c r="W56" s="139">
        <v>202380.06831019605</v>
      </c>
      <c r="X56" s="139">
        <v>2252049.0583327748</v>
      </c>
      <c r="Z56" s="146"/>
      <c r="AA56" s="147"/>
      <c r="AB56" s="146"/>
      <c r="AC56" s="146"/>
      <c r="AD56" s="148">
        <f>VLOOKUP($B56,'Delegation in 13-14'!$B:$N,13,FALSE)</f>
        <v>40157.377200894152</v>
      </c>
      <c r="AE56" s="149"/>
      <c r="AF56" s="5">
        <f t="shared" si="0"/>
        <v>3928.2384646066712</v>
      </c>
      <c r="AG56" s="5">
        <f t="shared" si="1"/>
        <v>3987.4823723426466</v>
      </c>
      <c r="AH56" s="6"/>
      <c r="AI56" s="1"/>
      <c r="AJ56" s="148">
        <f>VLOOKUP($B56,'Delegation in 13-14'!$B:$N,13,FALSE)</f>
        <v>40157.377200894152</v>
      </c>
      <c r="AK56" s="149"/>
      <c r="AL56" s="5">
        <f t="shared" si="2"/>
        <v>3560.274704042678</v>
      </c>
      <c r="AM56" s="5">
        <f t="shared" si="3"/>
        <v>3616.8229065730566</v>
      </c>
      <c r="AN56" s="1"/>
      <c r="AO56" s="5"/>
      <c r="AP56" s="1"/>
    </row>
    <row r="57" spans="2:42" ht="15.75" x14ac:dyDescent="0.25">
      <c r="B57" s="133">
        <v>2619</v>
      </c>
      <c r="C57" s="134" t="s">
        <v>69</v>
      </c>
      <c r="D57" s="113">
        <v>177</v>
      </c>
      <c r="E57" s="114" t="s">
        <v>5</v>
      </c>
      <c r="F57" s="115">
        <v>962719.24492705963</v>
      </c>
      <c r="G57" s="116">
        <v>226556.4441242028</v>
      </c>
      <c r="H57" s="116">
        <v>736162.8008028568</v>
      </c>
      <c r="I57" s="113">
        <v>183</v>
      </c>
      <c r="J57" s="117" t="s">
        <v>248</v>
      </c>
      <c r="K57" s="118"/>
      <c r="L57" s="119">
        <v>0</v>
      </c>
      <c r="M57" s="120">
        <v>725120.35879081395</v>
      </c>
      <c r="N57" s="121">
        <v>6</v>
      </c>
      <c r="O57" s="122">
        <v>24580.351145451321</v>
      </c>
      <c r="P57" s="123">
        <v>749700.70993626525</v>
      </c>
      <c r="Q57" s="124"/>
      <c r="R57" s="135">
        <v>903714.40687642933</v>
      </c>
      <c r="S57" s="136"/>
      <c r="T57" s="137"/>
      <c r="U57" s="138">
        <v>127150.24</v>
      </c>
      <c r="V57" s="138">
        <v>776564.16687642934</v>
      </c>
      <c r="W57" s="139">
        <v>0</v>
      </c>
      <c r="X57" s="139">
        <v>903714.40687642933</v>
      </c>
      <c r="Z57" s="146"/>
      <c r="AA57" s="147"/>
      <c r="AB57" s="146"/>
      <c r="AC57" s="146"/>
      <c r="AD57" s="148">
        <f>VLOOKUP($B57,'Delegation in 13-14'!$B:$N,13,FALSE)</f>
        <v>13361.454595933872</v>
      </c>
      <c r="AE57" s="149"/>
      <c r="AF57" s="5">
        <f t="shared" si="0"/>
        <v>4316.5334506686513</v>
      </c>
      <c r="AG57" s="5">
        <f t="shared" si="1"/>
        <v>4234.600312987518</v>
      </c>
      <c r="AH57" s="6"/>
      <c r="AI57" s="1"/>
      <c r="AJ57" s="148">
        <f>VLOOKUP($B57,'Delegation in 13-14'!$B:$N,13,FALSE)</f>
        <v>13361.454595933872</v>
      </c>
      <c r="AK57" s="149"/>
      <c r="AL57" s="5">
        <f t="shared" si="2"/>
        <v>4316.5334506686513</v>
      </c>
      <c r="AM57" s="5">
        <f t="shared" si="3"/>
        <v>4234.600312987518</v>
      </c>
      <c r="AN57" s="1"/>
      <c r="AO57" s="5"/>
      <c r="AP57" s="1"/>
    </row>
    <row r="58" spans="2:42" ht="15.75" x14ac:dyDescent="0.25">
      <c r="B58" s="133">
        <v>2518</v>
      </c>
      <c r="C58" s="134" t="s">
        <v>70</v>
      </c>
      <c r="D58" s="113">
        <v>258</v>
      </c>
      <c r="E58" s="114" t="s">
        <v>5</v>
      </c>
      <c r="F58" s="115">
        <v>1264174.9993310021</v>
      </c>
      <c r="G58" s="116">
        <v>216630.98555794387</v>
      </c>
      <c r="H58" s="116">
        <v>1047544.0137730583</v>
      </c>
      <c r="I58" s="113">
        <v>281</v>
      </c>
      <c r="J58" s="117" t="s">
        <v>248</v>
      </c>
      <c r="K58" s="118"/>
      <c r="L58" s="119">
        <v>0</v>
      </c>
      <c r="M58" s="120">
        <v>1031830.8535664624</v>
      </c>
      <c r="N58" s="121">
        <v>23</v>
      </c>
      <c r="O58" s="122">
        <v>91984.921054374558</v>
      </c>
      <c r="P58" s="123">
        <v>1123815.7746208371</v>
      </c>
      <c r="Q58" s="124"/>
      <c r="R58" s="135">
        <v>1228565.4203381133</v>
      </c>
      <c r="S58" s="136"/>
      <c r="T58" s="137"/>
      <c r="U58" s="138">
        <v>111012.9032</v>
      </c>
      <c r="V58" s="138">
        <v>1117552.5171381133</v>
      </c>
      <c r="W58" s="139">
        <v>6263.2574827237986</v>
      </c>
      <c r="X58" s="139">
        <v>1234828.6778208371</v>
      </c>
      <c r="Z58" s="146"/>
      <c r="AA58" s="147"/>
      <c r="AB58" s="146"/>
      <c r="AC58" s="146"/>
      <c r="AD58" s="148">
        <f>VLOOKUP($B58,'Delegation in 13-14'!$B:$N,13,FALSE)</f>
        <v>20516.769079002283</v>
      </c>
      <c r="AE58" s="149"/>
      <c r="AF58" s="5">
        <f t="shared" si="0"/>
        <v>4072.3578067609942</v>
      </c>
      <c r="AG58" s="5">
        <f t="shared" si="1"/>
        <v>4139.7704761707773</v>
      </c>
      <c r="AH58" s="6"/>
      <c r="AI58" s="1"/>
      <c r="AJ58" s="148">
        <f>VLOOKUP($B58,'Delegation in 13-14'!$B:$N,13,FALSE)</f>
        <v>20516.769079002283</v>
      </c>
      <c r="AK58" s="149"/>
      <c r="AL58" s="5">
        <f t="shared" si="2"/>
        <v>4050.0686342246108</v>
      </c>
      <c r="AM58" s="5">
        <f t="shared" si="3"/>
        <v>4115.4942843772742</v>
      </c>
      <c r="AN58" s="1"/>
      <c r="AO58" s="5"/>
      <c r="AP58" s="1"/>
    </row>
    <row r="59" spans="2:42" ht="15.75" x14ac:dyDescent="0.25">
      <c r="B59" s="133">
        <v>2457</v>
      </c>
      <c r="C59" s="134" t="s">
        <v>71</v>
      </c>
      <c r="D59" s="113">
        <v>342</v>
      </c>
      <c r="E59" s="114" t="s">
        <v>5</v>
      </c>
      <c r="F59" s="115">
        <v>1161879.6340151066</v>
      </c>
      <c r="G59" s="116">
        <v>129816.82698163355</v>
      </c>
      <c r="H59" s="116">
        <v>1032062.807033473</v>
      </c>
      <c r="I59" s="113">
        <v>352</v>
      </c>
      <c r="J59" s="117" t="s">
        <v>248</v>
      </c>
      <c r="K59" s="118"/>
      <c r="L59" s="119">
        <v>0</v>
      </c>
      <c r="M59" s="120">
        <v>1016581.8649279709</v>
      </c>
      <c r="N59" s="121">
        <v>10</v>
      </c>
      <c r="O59" s="122">
        <v>29724.615933566402</v>
      </c>
      <c r="P59" s="123">
        <v>1046306.4808615373</v>
      </c>
      <c r="Q59" s="124"/>
      <c r="R59" s="135">
        <v>1176338.8186286038</v>
      </c>
      <c r="S59" s="136"/>
      <c r="T59" s="137"/>
      <c r="U59" s="138">
        <v>119817.2</v>
      </c>
      <c r="V59" s="138">
        <v>1056521.6186286039</v>
      </c>
      <c r="W59" s="139">
        <v>0</v>
      </c>
      <c r="X59" s="139">
        <v>1176338.8186286038</v>
      </c>
      <c r="Z59" s="146"/>
      <c r="AA59" s="147"/>
      <c r="AB59" s="146"/>
      <c r="AC59" s="146"/>
      <c r="AD59" s="148">
        <f>VLOOKUP($B59,'Delegation in 13-14'!$B:$N,13,FALSE)</f>
        <v>25700.721408572255</v>
      </c>
      <c r="AE59" s="149"/>
      <c r="AF59" s="5">
        <f t="shared" si="0"/>
        <v>3074.4952841965232</v>
      </c>
      <c r="AG59" s="5">
        <f t="shared" si="1"/>
        <v>3092.875814158027</v>
      </c>
      <c r="AH59" s="6"/>
      <c r="AI59" s="1"/>
      <c r="AJ59" s="148">
        <f>VLOOKUP($B59,'Delegation in 13-14'!$B:$N,13,FALSE)</f>
        <v>25700.721408572255</v>
      </c>
      <c r="AK59" s="149"/>
      <c r="AL59" s="5">
        <f t="shared" si="2"/>
        <v>3074.4952841965232</v>
      </c>
      <c r="AM59" s="5">
        <f t="shared" si="3"/>
        <v>3092.875814158027</v>
      </c>
      <c r="AN59" s="1"/>
      <c r="AO59" s="5"/>
      <c r="AP59" s="1"/>
    </row>
    <row r="60" spans="2:42" ht="15.75" x14ac:dyDescent="0.25">
      <c r="B60" s="220">
        <v>2010</v>
      </c>
      <c r="C60" s="134" t="s">
        <v>72</v>
      </c>
      <c r="D60" s="113">
        <v>186</v>
      </c>
      <c r="E60" s="114" t="s">
        <v>5</v>
      </c>
      <c r="F60" s="115">
        <v>1062407.2030982103</v>
      </c>
      <c r="G60" s="116">
        <v>268816.30674128304</v>
      </c>
      <c r="H60" s="116">
        <v>793590.89635692723</v>
      </c>
      <c r="I60" s="113">
        <v>176</v>
      </c>
      <c r="J60" s="117" t="s">
        <v>248</v>
      </c>
      <c r="K60" s="118"/>
      <c r="L60" s="119">
        <v>0</v>
      </c>
      <c r="M60" s="120">
        <v>781687.0329115733</v>
      </c>
      <c r="N60" s="121">
        <v>-10</v>
      </c>
      <c r="O60" s="122">
        <v>-42026.184565138348</v>
      </c>
      <c r="P60" s="123">
        <v>739660.848346435</v>
      </c>
      <c r="Q60" s="124"/>
      <c r="R60" s="135">
        <v>764974.56210935221</v>
      </c>
      <c r="S60" s="136"/>
      <c r="T60" s="137"/>
      <c r="U60" s="138">
        <v>103429.504</v>
      </c>
      <c r="V60" s="138">
        <v>661545.05810935225</v>
      </c>
      <c r="W60" s="139">
        <v>78115.790237082751</v>
      </c>
      <c r="X60" s="139">
        <v>843090.35234643496</v>
      </c>
      <c r="Z60" s="146"/>
      <c r="AA60" s="147"/>
      <c r="AB60" s="146"/>
      <c r="AC60" s="146"/>
      <c r="AD60" s="148">
        <f>VLOOKUP($B60,'Delegation in 13-14'!$B:$N,13,FALSE)</f>
        <v>12850.360704286128</v>
      </c>
      <c r="AE60" s="149"/>
      <c r="AF60" s="5">
        <f t="shared" si="0"/>
        <v>4275.6318696063699</v>
      </c>
      <c r="AG60" s="5">
        <f t="shared" si="1"/>
        <v>4335.7056831248028</v>
      </c>
      <c r="AH60" s="6"/>
      <c r="AI60" s="1"/>
      <c r="AJ60" s="148">
        <f>VLOOKUP($B60,'Delegation in 13-14'!$B:$N,13,FALSE)</f>
        <v>12850.360704286128</v>
      </c>
      <c r="AK60" s="149"/>
      <c r="AL60" s="5">
        <f t="shared" si="2"/>
        <v>3831.7921523502182</v>
      </c>
      <c r="AM60" s="5">
        <f t="shared" si="3"/>
        <v>3915.7283162587669</v>
      </c>
      <c r="AN60" s="1"/>
      <c r="AO60" s="5"/>
      <c r="AP60" s="1"/>
    </row>
    <row r="61" spans="2:42" ht="15.75" x14ac:dyDescent="0.25">
      <c r="B61" s="133">
        <v>2002</v>
      </c>
      <c r="C61" s="134" t="s">
        <v>73</v>
      </c>
      <c r="D61" s="113">
        <v>423</v>
      </c>
      <c r="E61" s="114" t="s">
        <v>5</v>
      </c>
      <c r="F61" s="115">
        <v>1499670.8704332351</v>
      </c>
      <c r="G61" s="116">
        <v>321625.89940555254</v>
      </c>
      <c r="H61" s="116">
        <v>1178044.9710276825</v>
      </c>
      <c r="I61" s="113">
        <v>424</v>
      </c>
      <c r="J61" s="117" t="s">
        <v>248</v>
      </c>
      <c r="K61" s="118"/>
      <c r="L61" s="119">
        <v>0</v>
      </c>
      <c r="M61" s="120">
        <v>1160374.2964622672</v>
      </c>
      <c r="N61" s="121">
        <v>1</v>
      </c>
      <c r="O61" s="122">
        <v>2743.2016464829012</v>
      </c>
      <c r="P61" s="123">
        <v>1163117.49810875</v>
      </c>
      <c r="Q61" s="124"/>
      <c r="R61" s="135">
        <v>1270436.5449307025</v>
      </c>
      <c r="S61" s="136"/>
      <c r="T61" s="137"/>
      <c r="U61" s="138">
        <v>144059.6</v>
      </c>
      <c r="V61" s="138">
        <v>1126376.9449307024</v>
      </c>
      <c r="W61" s="139">
        <v>36740.553178047528</v>
      </c>
      <c r="X61" s="139">
        <v>1307177.0981087501</v>
      </c>
      <c r="Z61" s="146"/>
      <c r="AA61" s="147"/>
      <c r="AB61" s="146"/>
      <c r="AC61" s="146"/>
      <c r="AD61" s="148">
        <f>VLOOKUP($B61,'Delegation in 13-14'!$B:$N,13,FALSE)</f>
        <v>30957.687151234764</v>
      </c>
      <c r="AE61" s="149"/>
      <c r="AF61" s="5">
        <f t="shared" si="0"/>
        <v>2816.215059575436</v>
      </c>
      <c r="AG61" s="5">
        <f t="shared" si="1"/>
        <v>2858.1623124797102</v>
      </c>
      <c r="AH61" s="6"/>
      <c r="AI61" s="1"/>
      <c r="AJ61" s="148">
        <f>VLOOKUP($B61,'Delegation in 13-14'!$B:$N,13,FALSE)</f>
        <v>30957.687151234764</v>
      </c>
      <c r="AK61" s="149"/>
      <c r="AL61" s="5">
        <f t="shared" si="2"/>
        <v>2729.562811514003</v>
      </c>
      <c r="AM61" s="5">
        <f t="shared" si="3"/>
        <v>2771.3052127680139</v>
      </c>
      <c r="AN61" s="1"/>
      <c r="AO61" s="5"/>
      <c r="AP61" s="1"/>
    </row>
    <row r="62" spans="2:42" ht="15.75" x14ac:dyDescent="0.25">
      <c r="B62" s="133">
        <v>3544</v>
      </c>
      <c r="C62" s="134" t="s">
        <v>74</v>
      </c>
      <c r="D62" s="113">
        <v>520</v>
      </c>
      <c r="E62" s="114" t="s">
        <v>5</v>
      </c>
      <c r="F62" s="115">
        <v>2635744.1664077071</v>
      </c>
      <c r="G62" s="116">
        <v>335335.87165053899</v>
      </c>
      <c r="H62" s="116">
        <v>2300408.2947571683</v>
      </c>
      <c r="I62" s="113">
        <v>536</v>
      </c>
      <c r="J62" s="117" t="s">
        <v>248</v>
      </c>
      <c r="K62" s="118"/>
      <c r="L62" s="119">
        <v>0</v>
      </c>
      <c r="M62" s="120">
        <v>2265902.1703358106</v>
      </c>
      <c r="N62" s="121">
        <v>16</v>
      </c>
      <c r="O62" s="122">
        <v>69720.066779563407</v>
      </c>
      <c r="P62" s="123">
        <v>2335622.2371153738</v>
      </c>
      <c r="Q62" s="124"/>
      <c r="R62" s="135">
        <v>2376062.9649841897</v>
      </c>
      <c r="S62" s="136"/>
      <c r="T62" s="137"/>
      <c r="U62" s="138">
        <v>170495.35999999999</v>
      </c>
      <c r="V62" s="138">
        <v>2205567.6049841898</v>
      </c>
      <c r="W62" s="139">
        <v>130054.63213118399</v>
      </c>
      <c r="X62" s="139">
        <v>2506117.5971153737</v>
      </c>
      <c r="Z62" s="146"/>
      <c r="AA62" s="147"/>
      <c r="AB62" s="146"/>
      <c r="AC62" s="146"/>
      <c r="AD62" s="148">
        <f>VLOOKUP($B62,'Delegation in 13-14'!$B:$N,13,FALSE)</f>
        <v>39135.18941759866</v>
      </c>
      <c r="AE62" s="149"/>
      <c r="AF62" s="5">
        <f t="shared" si="0"/>
        <v>4430.5175868152473</v>
      </c>
      <c r="AG62" s="5">
        <f t="shared" si="1"/>
        <v>4499.1220849514748</v>
      </c>
      <c r="AH62" s="6"/>
      <c r="AI62" s="1"/>
      <c r="AJ62" s="148">
        <f>VLOOKUP($B62,'Delegation in 13-14'!$B:$N,13,FALSE)</f>
        <v>39135.18941759866</v>
      </c>
      <c r="AK62" s="149"/>
      <c r="AL62" s="5">
        <f t="shared" si="2"/>
        <v>4187.8783477645311</v>
      </c>
      <c r="AM62" s="5">
        <f t="shared" si="3"/>
        <v>4249.0170231607362</v>
      </c>
      <c r="AN62" s="1"/>
      <c r="AO62" s="5"/>
      <c r="AP62" s="1"/>
    </row>
    <row r="63" spans="2:42" ht="15.75" x14ac:dyDescent="0.25">
      <c r="B63" s="133">
        <v>2006</v>
      </c>
      <c r="C63" s="134" t="s">
        <v>75</v>
      </c>
      <c r="D63" s="113">
        <v>217</v>
      </c>
      <c r="E63" s="114" t="s">
        <v>5</v>
      </c>
      <c r="F63" s="115">
        <v>872991.61063868133</v>
      </c>
      <c r="G63" s="116">
        <v>249069.35686796613</v>
      </c>
      <c r="H63" s="116">
        <v>623922.25377071521</v>
      </c>
      <c r="I63" s="113">
        <v>231</v>
      </c>
      <c r="J63" s="117" t="s">
        <v>248</v>
      </c>
      <c r="K63" s="118"/>
      <c r="L63" s="119">
        <v>0</v>
      </c>
      <c r="M63" s="120">
        <v>614563.41996415448</v>
      </c>
      <c r="N63" s="121">
        <v>14</v>
      </c>
      <c r="O63" s="122">
        <v>39649.25290091319</v>
      </c>
      <c r="P63" s="123">
        <v>654212.67286506773</v>
      </c>
      <c r="Q63" s="124"/>
      <c r="R63" s="135">
        <v>742975.2171356536</v>
      </c>
      <c r="S63" s="136"/>
      <c r="T63" s="137"/>
      <c r="U63" s="138">
        <v>127864.72</v>
      </c>
      <c r="V63" s="138">
        <v>615110.49713565363</v>
      </c>
      <c r="W63" s="139">
        <v>39102.175729414099</v>
      </c>
      <c r="X63" s="139">
        <v>782077.3928650677</v>
      </c>
      <c r="Z63" s="146"/>
      <c r="AA63" s="147"/>
      <c r="AB63" s="146"/>
      <c r="AC63" s="146"/>
      <c r="AD63" s="148">
        <f>VLOOKUP($B63,'Delegation in 13-14'!$B:$N,13,FALSE)</f>
        <v>16866.098424375545</v>
      </c>
      <c r="AE63" s="149"/>
      <c r="AF63" s="5">
        <f t="shared" si="0"/>
        <v>2905.1029060149058</v>
      </c>
      <c r="AG63" s="5">
        <f t="shared" si="1"/>
        <v>2952.9417151847501</v>
      </c>
      <c r="AH63" s="6"/>
      <c r="AI63" s="1"/>
      <c r="AJ63" s="148">
        <f>VLOOKUP($B63,'Delegation in 13-14'!$B:$N,13,FALSE)</f>
        <v>16866.098424375545</v>
      </c>
      <c r="AK63" s="149"/>
      <c r="AL63" s="5">
        <f t="shared" si="2"/>
        <v>2735.8294180087842</v>
      </c>
      <c r="AM63" s="5">
        <f t="shared" si="3"/>
        <v>2772.7473569846848</v>
      </c>
      <c r="AN63" s="1"/>
      <c r="AO63" s="5"/>
      <c r="AP63" s="1"/>
    </row>
    <row r="64" spans="2:42" ht="15.75" x14ac:dyDescent="0.25">
      <c r="B64" s="133">
        <v>2434</v>
      </c>
      <c r="C64" s="134" t="s">
        <v>76</v>
      </c>
      <c r="D64" s="113">
        <v>347</v>
      </c>
      <c r="E64" s="114" t="s">
        <v>5</v>
      </c>
      <c r="F64" s="115">
        <v>2117052.7528895624</v>
      </c>
      <c r="G64" s="116">
        <v>640480.17554098519</v>
      </c>
      <c r="H64" s="116">
        <v>1476572.5773485773</v>
      </c>
      <c r="I64" s="113">
        <v>358</v>
      </c>
      <c r="J64" s="117" t="s">
        <v>248</v>
      </c>
      <c r="K64" s="118"/>
      <c r="L64" s="119">
        <v>0</v>
      </c>
      <c r="M64" s="120">
        <v>1454423.9886883486</v>
      </c>
      <c r="N64" s="121">
        <v>11</v>
      </c>
      <c r="O64" s="122">
        <v>46105.6595837805</v>
      </c>
      <c r="P64" s="123">
        <v>1500529.648272129</v>
      </c>
      <c r="Q64" s="124"/>
      <c r="R64" s="135">
        <v>1612355.1613227441</v>
      </c>
      <c r="S64" s="136"/>
      <c r="T64" s="137"/>
      <c r="U64" s="138">
        <v>157205.0024</v>
      </c>
      <c r="V64" s="138">
        <v>1455150.158922744</v>
      </c>
      <c r="W64" s="139">
        <v>45379.489349385025</v>
      </c>
      <c r="X64" s="139">
        <v>1657734.6506721291</v>
      </c>
      <c r="Z64" s="146"/>
      <c r="AA64" s="147"/>
      <c r="AB64" s="146"/>
      <c r="AC64" s="146"/>
      <c r="AD64" s="148">
        <f>VLOOKUP($B64,'Delegation in 13-14'!$B:$N,13,FALSE)</f>
        <v>26138.801887127465</v>
      </c>
      <c r="AE64" s="149"/>
      <c r="AF64" s="5">
        <f t="shared" si="0"/>
        <v>4264.4370116180362</v>
      </c>
      <c r="AG64" s="5">
        <f t="shared" si="1"/>
        <v>4330.5803436187462</v>
      </c>
      <c r="AH64" s="6"/>
      <c r="AI64" s="1"/>
      <c r="AJ64" s="148">
        <f>VLOOKUP($B64,'Delegation in 13-14'!$B:$N,13,FALSE)</f>
        <v>26138.801887127465</v>
      </c>
      <c r="AK64" s="149"/>
      <c r="AL64" s="5">
        <f t="shared" si="2"/>
        <v>4137.6786614800885</v>
      </c>
      <c r="AM64" s="5">
        <f t="shared" si="3"/>
        <v>4199.8037172516424</v>
      </c>
      <c r="AN64" s="1"/>
      <c r="AO64" s="5"/>
      <c r="AP64" s="1"/>
    </row>
    <row r="65" spans="2:42" ht="15.75" x14ac:dyDescent="0.25">
      <c r="B65" s="133">
        <v>2522</v>
      </c>
      <c r="C65" s="134" t="s">
        <v>77</v>
      </c>
      <c r="D65" s="113">
        <v>409</v>
      </c>
      <c r="E65" s="114" t="s">
        <v>5</v>
      </c>
      <c r="F65" s="115">
        <v>1229523.0103495778</v>
      </c>
      <c r="G65" s="116">
        <v>139168.61113003764</v>
      </c>
      <c r="H65" s="116">
        <v>1090354.3992195402</v>
      </c>
      <c r="I65" s="113">
        <v>407</v>
      </c>
      <c r="J65" s="117" t="s">
        <v>248</v>
      </c>
      <c r="K65" s="118"/>
      <c r="L65" s="119">
        <v>0</v>
      </c>
      <c r="M65" s="120">
        <v>1073999.083231247</v>
      </c>
      <c r="N65" s="121">
        <v>-2</v>
      </c>
      <c r="O65" s="122">
        <v>-5251.8292578545088</v>
      </c>
      <c r="P65" s="123">
        <v>1068747.2539733925</v>
      </c>
      <c r="Q65" s="124"/>
      <c r="R65" s="135">
        <v>1206102.5553022181</v>
      </c>
      <c r="S65" s="136"/>
      <c r="T65" s="137"/>
      <c r="U65" s="138">
        <v>117147.52</v>
      </c>
      <c r="V65" s="138">
        <v>1088955.035302218</v>
      </c>
      <c r="W65" s="139">
        <v>0</v>
      </c>
      <c r="X65" s="139">
        <v>1206102.5553022181</v>
      </c>
      <c r="Z65" s="146"/>
      <c r="AA65" s="147"/>
      <c r="AB65" s="146"/>
      <c r="AC65" s="146"/>
      <c r="AD65" s="148">
        <f>VLOOKUP($B65,'Delegation in 13-14'!$B:$N,13,FALSE)</f>
        <v>29716.459128661671</v>
      </c>
      <c r="AE65" s="149"/>
      <c r="AF65" s="5">
        <f t="shared" si="0"/>
        <v>2748.5786103952823</v>
      </c>
      <c r="AG65" s="5">
        <f t="shared" si="1"/>
        <v>2738.5595558635746</v>
      </c>
      <c r="AH65" s="6"/>
      <c r="AI65" s="1"/>
      <c r="AJ65" s="148">
        <f>VLOOKUP($B65,'Delegation in 13-14'!$B:$N,13,FALSE)</f>
        <v>29716.459128661671</v>
      </c>
      <c r="AK65" s="149"/>
      <c r="AL65" s="5">
        <f t="shared" si="2"/>
        <v>2748.5786103952823</v>
      </c>
      <c r="AM65" s="5">
        <f t="shared" si="3"/>
        <v>2738.5595558635746</v>
      </c>
      <c r="AN65" s="1"/>
      <c r="AO65" s="5"/>
      <c r="AP65" s="1"/>
    </row>
    <row r="66" spans="2:42" ht="15.75" x14ac:dyDescent="0.25">
      <c r="B66" s="133">
        <v>2436</v>
      </c>
      <c r="C66" s="134" t="s">
        <v>78</v>
      </c>
      <c r="D66" s="113">
        <v>297</v>
      </c>
      <c r="E66" s="114" t="s">
        <v>5</v>
      </c>
      <c r="F66" s="115">
        <v>1295018.9380798892</v>
      </c>
      <c r="G66" s="116">
        <v>379436.90129815042</v>
      </c>
      <c r="H66" s="116">
        <v>915582.03678173875</v>
      </c>
      <c r="I66" s="113">
        <v>305</v>
      </c>
      <c r="J66" s="117" t="s">
        <v>248</v>
      </c>
      <c r="K66" s="118"/>
      <c r="L66" s="119">
        <v>0</v>
      </c>
      <c r="M66" s="120">
        <v>901848.30623001268</v>
      </c>
      <c r="N66" s="121">
        <v>8</v>
      </c>
      <c r="O66" s="122">
        <v>24292.210268821891</v>
      </c>
      <c r="P66" s="123">
        <v>926140.51649883459</v>
      </c>
      <c r="Q66" s="124"/>
      <c r="R66" s="135">
        <v>965585.34294060385</v>
      </c>
      <c r="S66" s="136"/>
      <c r="T66" s="137"/>
      <c r="U66" s="138">
        <v>113575.12</v>
      </c>
      <c r="V66" s="138">
        <v>852010.22294060385</v>
      </c>
      <c r="W66" s="139">
        <v>74130.29355823074</v>
      </c>
      <c r="X66" s="139">
        <v>1039715.6364988346</v>
      </c>
      <c r="Z66" s="146"/>
      <c r="AA66" s="147"/>
      <c r="AB66" s="146"/>
      <c r="AC66" s="146"/>
      <c r="AD66" s="148">
        <f>VLOOKUP($B66,'Delegation in 13-14'!$B:$N,13,FALSE)</f>
        <v>22269.090993223119</v>
      </c>
      <c r="AE66" s="149"/>
      <c r="AF66" s="5">
        <f t="shared" si="0"/>
        <v>3109.5396966952712</v>
      </c>
      <c r="AG66" s="5">
        <f t="shared" si="1"/>
        <v>3157.7479049662015</v>
      </c>
      <c r="AH66" s="6"/>
      <c r="AI66" s="1"/>
      <c r="AJ66" s="148">
        <f>VLOOKUP($B66,'Delegation in 13-14'!$B:$N,13,FALSE)</f>
        <v>22269.090993223119</v>
      </c>
      <c r="AK66" s="149"/>
      <c r="AL66" s="5">
        <f t="shared" si="2"/>
        <v>2866.4895538813998</v>
      </c>
      <c r="AM66" s="5">
        <f t="shared" si="3"/>
        <v>2908.1509569586906</v>
      </c>
      <c r="AN66" s="1"/>
      <c r="AO66" s="5"/>
      <c r="AP66" s="1"/>
    </row>
    <row r="67" spans="2:42" ht="15.75" x14ac:dyDescent="0.25">
      <c r="B67" s="133">
        <v>2452</v>
      </c>
      <c r="C67" s="134" t="s">
        <v>79</v>
      </c>
      <c r="D67" s="113">
        <v>210</v>
      </c>
      <c r="E67" s="114" t="s">
        <v>5</v>
      </c>
      <c r="F67" s="115">
        <v>917477.42645864957</v>
      </c>
      <c r="G67" s="116">
        <v>216443.2067154838</v>
      </c>
      <c r="H67" s="116">
        <v>701034.21974316577</v>
      </c>
      <c r="I67" s="113">
        <v>202</v>
      </c>
      <c r="J67" s="117" t="s">
        <v>248</v>
      </c>
      <c r="K67" s="118"/>
      <c r="L67" s="119">
        <v>0</v>
      </c>
      <c r="M67" s="120">
        <v>690518.70644701831</v>
      </c>
      <c r="N67" s="121">
        <v>-8</v>
      </c>
      <c r="O67" s="122">
        <v>-26305.474531314983</v>
      </c>
      <c r="P67" s="123">
        <v>664213.23191570328</v>
      </c>
      <c r="Q67" s="124"/>
      <c r="R67" s="135">
        <v>756974.66366477148</v>
      </c>
      <c r="S67" s="136"/>
      <c r="T67" s="137"/>
      <c r="U67" s="138">
        <v>114765.92</v>
      </c>
      <c r="V67" s="138">
        <v>642208.74366477143</v>
      </c>
      <c r="W67" s="139">
        <v>22004.488250931841</v>
      </c>
      <c r="X67" s="139">
        <v>778979.15191570332</v>
      </c>
      <c r="Z67" s="146"/>
      <c r="AA67" s="147"/>
      <c r="AB67" s="146"/>
      <c r="AC67" s="146"/>
      <c r="AD67" s="148">
        <f>VLOOKUP($B67,'Delegation in 13-14'!$B:$N,13,FALSE)</f>
        <v>14748.709444692033</v>
      </c>
      <c r="AE67" s="149"/>
      <c r="AF67" s="5">
        <f t="shared" si="0"/>
        <v>3361.1977295069073</v>
      </c>
      <c r="AG67" s="5">
        <f t="shared" si="1"/>
        <v>3408.4901389897991</v>
      </c>
      <c r="AH67" s="6"/>
      <c r="AI67" s="1"/>
      <c r="AJ67" s="148">
        <f>VLOOKUP($B67,'Delegation in 13-14'!$B:$N,13,FALSE)</f>
        <v>14748.709444692033</v>
      </c>
      <c r="AK67" s="149"/>
      <c r="AL67" s="5">
        <f t="shared" si="2"/>
        <v>3252.2646193537794</v>
      </c>
      <c r="AM67" s="5">
        <f t="shared" si="3"/>
        <v>3303.7068616044094</v>
      </c>
      <c r="AN67" s="1"/>
      <c r="AO67" s="5"/>
      <c r="AP67" s="1"/>
    </row>
    <row r="68" spans="2:42" ht="15.75" x14ac:dyDescent="0.25">
      <c r="B68" s="133">
        <v>2627</v>
      </c>
      <c r="C68" s="134" t="s">
        <v>80</v>
      </c>
      <c r="D68" s="113">
        <v>387</v>
      </c>
      <c r="E68" s="114" t="s">
        <v>5</v>
      </c>
      <c r="F68" s="115">
        <v>1222847.8031732745</v>
      </c>
      <c r="G68" s="116">
        <v>145545.84988105841</v>
      </c>
      <c r="H68" s="116">
        <v>1077301.9532922162</v>
      </c>
      <c r="I68" s="113">
        <v>385</v>
      </c>
      <c r="J68" s="117" t="s">
        <v>248</v>
      </c>
      <c r="K68" s="118"/>
      <c r="L68" s="119">
        <v>0</v>
      </c>
      <c r="M68" s="120">
        <v>1061142.4239928329</v>
      </c>
      <c r="N68" s="121">
        <v>-2</v>
      </c>
      <c r="O68" s="122">
        <v>-5483.9401756735551</v>
      </c>
      <c r="P68" s="123">
        <v>1055658.4838171594</v>
      </c>
      <c r="Q68" s="124"/>
      <c r="R68" s="135">
        <v>1160403.1942875008</v>
      </c>
      <c r="S68" s="136"/>
      <c r="T68" s="137"/>
      <c r="U68" s="138">
        <v>120005.44</v>
      </c>
      <c r="V68" s="138">
        <v>1040397.7542875009</v>
      </c>
      <c r="W68" s="139">
        <v>15260.729529658565</v>
      </c>
      <c r="X68" s="139">
        <v>1175663.9238171594</v>
      </c>
      <c r="Z68" s="146"/>
      <c r="AA68" s="147"/>
      <c r="AB68" s="146"/>
      <c r="AC68" s="146"/>
      <c r="AD68" s="148">
        <f>VLOOKUP($B68,'Delegation in 13-14'!$B:$N,13,FALSE)</f>
        <v>28110.164040625907</v>
      </c>
      <c r="AE68" s="149"/>
      <c r="AF68" s="5">
        <f t="shared" si="0"/>
        <v>2814.9835009293124</v>
      </c>
      <c r="AG68" s="5">
        <f t="shared" si="1"/>
        <v>2856.3620602915812</v>
      </c>
      <c r="AH68" s="6"/>
      <c r="AI68" s="1"/>
      <c r="AJ68" s="148">
        <f>VLOOKUP($B68,'Delegation in 13-14'!$B:$N,13,FALSE)</f>
        <v>28110.164040625907</v>
      </c>
      <c r="AK68" s="149"/>
      <c r="AL68" s="5">
        <f t="shared" si="2"/>
        <v>2775.3452424107186</v>
      </c>
      <c r="AM68" s="5">
        <f t="shared" si="3"/>
        <v>2816.9286506542207</v>
      </c>
      <c r="AN68" s="1"/>
      <c r="AO68" s="5"/>
      <c r="AP68" s="1"/>
    </row>
    <row r="69" spans="2:42" ht="15.75" x14ac:dyDescent="0.25">
      <c r="B69" s="150">
        <v>2009</v>
      </c>
      <c r="C69" s="151" t="s">
        <v>81</v>
      </c>
      <c r="D69" s="113">
        <v>276</v>
      </c>
      <c r="E69" s="114" t="s">
        <v>5</v>
      </c>
      <c r="F69" s="115">
        <v>1178298.1183649327</v>
      </c>
      <c r="G69" s="116">
        <v>154953.98655044715</v>
      </c>
      <c r="H69" s="116">
        <v>1023344.1318144855</v>
      </c>
      <c r="I69" s="113">
        <v>280</v>
      </c>
      <c r="J69" s="117" t="s">
        <v>248</v>
      </c>
      <c r="K69" s="118"/>
      <c r="L69" s="119">
        <v>0</v>
      </c>
      <c r="M69" s="120">
        <v>1007993.9698372682</v>
      </c>
      <c r="N69" s="121">
        <v>4</v>
      </c>
      <c r="O69" s="122">
        <v>14608.608258511134</v>
      </c>
      <c r="P69" s="123">
        <v>1022602.5780957794</v>
      </c>
      <c r="Q69" s="124"/>
      <c r="R69" s="135">
        <v>1118667.0999479848</v>
      </c>
      <c r="S69" s="136"/>
      <c r="T69" s="137"/>
      <c r="U69" s="138">
        <v>102548.31200000001</v>
      </c>
      <c r="V69" s="138">
        <v>1016118.7879479848</v>
      </c>
      <c r="W69" s="139">
        <v>6483.7901477946434</v>
      </c>
      <c r="X69" s="139">
        <v>1125150.8900957794</v>
      </c>
      <c r="Z69" s="146"/>
      <c r="AA69" s="147"/>
      <c r="AB69" s="146"/>
      <c r="AC69" s="146"/>
      <c r="AD69" s="148">
        <f>VLOOKUP($B69,'Delegation in 13-14'!$B:$N,13,FALSE)</f>
        <v>20443.75566590975</v>
      </c>
      <c r="AE69" s="149"/>
      <c r="AF69" s="5">
        <f t="shared" si="0"/>
        <v>3725.1654777203184</v>
      </c>
      <c r="AG69" s="5">
        <f t="shared" si="1"/>
        <v>3781.8401720304178</v>
      </c>
      <c r="AH69" s="6"/>
      <c r="AI69" s="1"/>
      <c r="AJ69" s="148">
        <f>VLOOKUP($B69,'Delegation in 13-14'!$B:$N,13,FALSE)</f>
        <v>20443.75566590975</v>
      </c>
      <c r="AK69" s="149"/>
      <c r="AL69" s="5">
        <f t="shared" si="2"/>
        <v>3702.0090843353373</v>
      </c>
      <c r="AM69" s="5">
        <f t="shared" si="3"/>
        <v>3758.3481787413066</v>
      </c>
      <c r="AN69" s="1"/>
      <c r="AO69" s="5"/>
      <c r="AP69" s="1"/>
    </row>
    <row r="70" spans="2:42" ht="15.75" x14ac:dyDescent="0.25">
      <c r="B70" s="133">
        <v>2420</v>
      </c>
      <c r="C70" s="134" t="s">
        <v>82</v>
      </c>
      <c r="D70" s="113">
        <v>381</v>
      </c>
      <c r="E70" s="114" t="s">
        <v>5</v>
      </c>
      <c r="F70" s="115">
        <v>2087033.6617569695</v>
      </c>
      <c r="G70" s="116">
        <v>368672.58206594473</v>
      </c>
      <c r="H70" s="116">
        <v>1718361.0796910247</v>
      </c>
      <c r="I70" s="113">
        <v>455</v>
      </c>
      <c r="J70" s="117" t="s">
        <v>248</v>
      </c>
      <c r="K70" s="118"/>
      <c r="L70" s="119">
        <v>0</v>
      </c>
      <c r="M70" s="120">
        <v>1692585.6634956594</v>
      </c>
      <c r="N70" s="121">
        <v>74</v>
      </c>
      <c r="O70" s="122">
        <v>328743.67217500991</v>
      </c>
      <c r="P70" s="123">
        <v>2021329.3356706693</v>
      </c>
      <c r="Q70" s="124"/>
      <c r="R70" s="135">
        <v>2157503.4241352179</v>
      </c>
      <c r="S70" s="136"/>
      <c r="T70" s="137"/>
      <c r="U70" s="138">
        <v>121910.72</v>
      </c>
      <c r="V70" s="138">
        <v>2035592.7041352179</v>
      </c>
      <c r="W70" s="139">
        <v>0</v>
      </c>
      <c r="X70" s="139">
        <v>2157503.4241352179</v>
      </c>
      <c r="Z70" s="146"/>
      <c r="AA70" s="147"/>
      <c r="AB70" s="146"/>
      <c r="AC70" s="146"/>
      <c r="AD70" s="148">
        <f>VLOOKUP($B70,'Delegation in 13-14'!$B:$N,13,FALSE)</f>
        <v>33221.102957103343</v>
      </c>
      <c r="AE70" s="149"/>
      <c r="AF70" s="5">
        <f t="shared" si="0"/>
        <v>4546.843532071036</v>
      </c>
      <c r="AG70" s="5">
        <f t="shared" si="1"/>
        <v>4597.3285633809137</v>
      </c>
      <c r="AH70" s="6"/>
      <c r="AI70" s="1"/>
      <c r="AJ70" s="148">
        <f>VLOOKUP($B70,'Delegation in 13-14'!$B:$N,13,FALSE)</f>
        <v>33221.102957103343</v>
      </c>
      <c r="AK70" s="149"/>
      <c r="AL70" s="5">
        <f t="shared" si="2"/>
        <v>4546.843532071036</v>
      </c>
      <c r="AM70" s="5">
        <f t="shared" si="3"/>
        <v>4597.3285633809137</v>
      </c>
      <c r="AN70" s="1"/>
      <c r="AO70" s="5"/>
      <c r="AP70" s="1"/>
    </row>
    <row r="71" spans="2:42" ht="15.75" x14ac:dyDescent="0.25">
      <c r="B71" s="133">
        <v>2473</v>
      </c>
      <c r="C71" s="134" t="s">
        <v>83</v>
      </c>
      <c r="D71" s="113">
        <v>266</v>
      </c>
      <c r="E71" s="114" t="s">
        <v>5</v>
      </c>
      <c r="F71" s="115">
        <v>1257574.446416521</v>
      </c>
      <c r="G71" s="116">
        <v>342435.46008587471</v>
      </c>
      <c r="H71" s="116">
        <v>915138.98633064632</v>
      </c>
      <c r="I71" s="113">
        <v>270</v>
      </c>
      <c r="J71" s="117" t="s">
        <v>248</v>
      </c>
      <c r="K71" s="118"/>
      <c r="L71" s="119">
        <v>0</v>
      </c>
      <c r="M71" s="120">
        <v>901411.90153568657</v>
      </c>
      <c r="N71" s="121">
        <v>4</v>
      </c>
      <c r="O71" s="122">
        <v>13555.066188506566</v>
      </c>
      <c r="P71" s="123">
        <v>914966.96772419312</v>
      </c>
      <c r="Q71" s="124"/>
      <c r="R71" s="135">
        <v>995561.21969147935</v>
      </c>
      <c r="S71" s="136"/>
      <c r="T71" s="137"/>
      <c r="U71" s="138">
        <v>114765.92</v>
      </c>
      <c r="V71" s="138">
        <v>880795.2996914793</v>
      </c>
      <c r="W71" s="139">
        <v>34171.668032713817</v>
      </c>
      <c r="X71" s="139">
        <v>1029732.8877241932</v>
      </c>
      <c r="Z71" s="146"/>
      <c r="AA71" s="147"/>
      <c r="AB71" s="146"/>
      <c r="AC71" s="146"/>
      <c r="AD71" s="148">
        <f>VLOOKUP($B71,'Delegation in 13-14'!$B:$N,13,FALSE)</f>
        <v>19713.621534984402</v>
      </c>
      <c r="AE71" s="149"/>
      <c r="AF71" s="5">
        <f t="shared" si="0"/>
        <v>3461.7799602191762</v>
      </c>
      <c r="AG71" s="5">
        <f t="shared" si="1"/>
        <v>3514.483488216657</v>
      </c>
      <c r="AH71" s="6"/>
      <c r="AI71" s="1"/>
      <c r="AJ71" s="148">
        <f>VLOOKUP($B71,'Delegation in 13-14'!$B:$N,13,FALSE)</f>
        <v>19713.621534984402</v>
      </c>
      <c r="AK71" s="149"/>
      <c r="AL71" s="5">
        <f t="shared" si="2"/>
        <v>3335.2182267646804</v>
      </c>
      <c r="AM71" s="5">
        <f t="shared" si="3"/>
        <v>3386.0185708004396</v>
      </c>
      <c r="AN71" s="1"/>
      <c r="AO71" s="5"/>
      <c r="AP71" s="1"/>
    </row>
    <row r="72" spans="2:42" ht="15.75" x14ac:dyDescent="0.25">
      <c r="B72" s="133">
        <v>2471</v>
      </c>
      <c r="C72" s="134" t="s">
        <v>84</v>
      </c>
      <c r="D72" s="113">
        <v>341</v>
      </c>
      <c r="E72" s="114" t="s">
        <v>5</v>
      </c>
      <c r="F72" s="115">
        <v>1287663.1104470149</v>
      </c>
      <c r="G72" s="116">
        <v>126335.52594081752</v>
      </c>
      <c r="H72" s="116">
        <v>1161327.5845061974</v>
      </c>
      <c r="I72" s="113">
        <v>346</v>
      </c>
      <c r="J72" s="117" t="s">
        <v>248</v>
      </c>
      <c r="K72" s="118"/>
      <c r="L72" s="119">
        <v>0</v>
      </c>
      <c r="M72" s="120">
        <v>1143907.6707386044</v>
      </c>
      <c r="N72" s="121">
        <v>5</v>
      </c>
      <c r="O72" s="122">
        <v>16772.839746900358</v>
      </c>
      <c r="P72" s="123">
        <v>1160680.5104855048</v>
      </c>
      <c r="Q72" s="124"/>
      <c r="R72" s="135">
        <v>1274220.049811691</v>
      </c>
      <c r="S72" s="136"/>
      <c r="T72" s="137"/>
      <c r="U72" s="138">
        <v>114765.92</v>
      </c>
      <c r="V72" s="138">
        <v>1159454.1298116911</v>
      </c>
      <c r="W72" s="139">
        <v>1226.3806738136336</v>
      </c>
      <c r="X72" s="139">
        <v>1275446.4304855047</v>
      </c>
      <c r="Z72" s="146"/>
      <c r="AA72" s="147"/>
      <c r="AB72" s="146"/>
      <c r="AC72" s="146"/>
      <c r="AD72" s="148">
        <f>VLOOKUP($B72,'Delegation in 13-14'!$B:$N,13,FALSE)</f>
        <v>25262.640930017049</v>
      </c>
      <c r="AE72" s="149"/>
      <c r="AF72" s="5">
        <f t="shared" si="0"/>
        <v>3427.5813624726061</v>
      </c>
      <c r="AG72" s="5">
        <f t="shared" si="1"/>
        <v>3479.7367314844996</v>
      </c>
      <c r="AH72" s="6"/>
      <c r="AI72" s="1"/>
      <c r="AJ72" s="148">
        <f>VLOOKUP($B72,'Delegation in 13-14'!$B:$N,13,FALSE)</f>
        <v>25262.640930017049</v>
      </c>
      <c r="AK72" s="149"/>
      <c r="AL72" s="5">
        <f t="shared" si="2"/>
        <v>3424.0369096581157</v>
      </c>
      <c r="AM72" s="5">
        <f t="shared" si="3"/>
        <v>3476.1403072211165</v>
      </c>
      <c r="AN72" s="1"/>
      <c r="AO72" s="5"/>
      <c r="AP72" s="1"/>
    </row>
    <row r="73" spans="2:42" ht="15.75" x14ac:dyDescent="0.25">
      <c r="B73" s="133">
        <v>2003</v>
      </c>
      <c r="C73" s="134" t="s">
        <v>85</v>
      </c>
      <c r="D73" s="113">
        <v>212</v>
      </c>
      <c r="E73" s="114" t="s">
        <v>5</v>
      </c>
      <c r="F73" s="115">
        <v>805424.48836830107</v>
      </c>
      <c r="G73" s="116">
        <v>250596.61189361909</v>
      </c>
      <c r="H73" s="116">
        <v>554827.87647468201</v>
      </c>
      <c r="I73" s="113">
        <v>213</v>
      </c>
      <c r="J73" s="117" t="s">
        <v>248</v>
      </c>
      <c r="K73" s="118"/>
      <c r="L73" s="119">
        <v>0</v>
      </c>
      <c r="M73" s="120">
        <v>546505.45832756173</v>
      </c>
      <c r="N73" s="121">
        <v>1</v>
      </c>
      <c r="O73" s="122">
        <v>2577.8559355073667</v>
      </c>
      <c r="P73" s="123">
        <v>549083.31426306907</v>
      </c>
      <c r="Q73" s="124"/>
      <c r="R73" s="135">
        <v>671248.24303589482</v>
      </c>
      <c r="S73" s="136"/>
      <c r="T73" s="137"/>
      <c r="U73" s="138">
        <v>127388.4</v>
      </c>
      <c r="V73" s="138">
        <v>543859.8430358948</v>
      </c>
      <c r="W73" s="139">
        <v>5223.4712271742756</v>
      </c>
      <c r="X73" s="139">
        <v>676471.71426306909</v>
      </c>
      <c r="Z73" s="146"/>
      <c r="AA73" s="147"/>
      <c r="AB73" s="146"/>
      <c r="AC73" s="146"/>
      <c r="AD73" s="148">
        <f>VLOOKUP($B73,'Delegation in 13-14'!$B:$N,13,FALSE)</f>
        <v>15551.856988709917</v>
      </c>
      <c r="AE73" s="149"/>
      <c r="AF73" s="5">
        <f t="shared" si="0"/>
        <v>2650.8693485999011</v>
      </c>
      <c r="AG73" s="5">
        <f t="shared" si="1"/>
        <v>2690.4704408650559</v>
      </c>
      <c r="AH73" s="6"/>
      <c r="AI73" s="1"/>
      <c r="AJ73" s="148">
        <f>VLOOKUP($B73,'Delegation in 13-14'!$B:$N,13,FALSE)</f>
        <v>15551.856988709917</v>
      </c>
      <c r="AK73" s="149"/>
      <c r="AL73" s="5">
        <f t="shared" si="2"/>
        <v>2626.3460095051864</v>
      </c>
      <c r="AM73" s="5">
        <f t="shared" si="3"/>
        <v>2665.831425642536</v>
      </c>
      <c r="AN73" s="1"/>
      <c r="AO73" s="5"/>
      <c r="AP73" s="1"/>
    </row>
    <row r="74" spans="2:42" ht="15.75" x14ac:dyDescent="0.25">
      <c r="B74" s="133">
        <v>2423</v>
      </c>
      <c r="C74" s="134" t="s">
        <v>86</v>
      </c>
      <c r="D74" s="113">
        <v>314</v>
      </c>
      <c r="E74" s="114" t="s">
        <v>5</v>
      </c>
      <c r="F74" s="115">
        <v>1555513.4539662376</v>
      </c>
      <c r="G74" s="116">
        <v>108811.19895918398</v>
      </c>
      <c r="H74" s="116">
        <v>1446702.2550070537</v>
      </c>
      <c r="I74" s="113">
        <v>359</v>
      </c>
      <c r="J74" s="117" t="s">
        <v>248</v>
      </c>
      <c r="K74" s="118"/>
      <c r="L74" s="119">
        <v>0</v>
      </c>
      <c r="M74" s="120">
        <v>1425001.721181948</v>
      </c>
      <c r="N74" s="121">
        <v>45</v>
      </c>
      <c r="O74" s="122">
        <v>204219.99188913268</v>
      </c>
      <c r="P74" s="123">
        <v>1629221.7130710806</v>
      </c>
      <c r="Q74" s="124"/>
      <c r="R74" s="135">
        <v>1593198.911616829</v>
      </c>
      <c r="S74" s="136"/>
      <c r="T74" s="137"/>
      <c r="U74" s="138">
        <v>112027.08</v>
      </c>
      <c r="V74" s="138">
        <v>1481171.8316168289</v>
      </c>
      <c r="W74" s="139">
        <v>148049.88145425171</v>
      </c>
      <c r="X74" s="139">
        <v>1741248.7930710807</v>
      </c>
      <c r="Z74" s="146"/>
      <c r="AA74" s="147"/>
      <c r="AB74" s="146"/>
      <c r="AC74" s="146"/>
      <c r="AD74" s="148">
        <f>VLOOKUP($B74,'Delegation in 13-14'!$B:$N,13,FALSE)</f>
        <v>26211.815300220002</v>
      </c>
      <c r="AE74" s="149"/>
      <c r="AF74" s="5">
        <f t="shared" si="0"/>
        <v>4611.2354550732607</v>
      </c>
      <c r="AG74" s="5">
        <f t="shared" si="1"/>
        <v>4690.8091411059668</v>
      </c>
      <c r="AH74" s="6"/>
      <c r="AI74" s="1"/>
      <c r="AJ74" s="148">
        <f>VLOOKUP($B74,'Delegation in 13-14'!$B:$N,13,FALSE)</f>
        <v>26211.815300220002</v>
      </c>
      <c r="AK74" s="149"/>
      <c r="AL74" s="5">
        <f t="shared" si="2"/>
        <v>4198.8402421087712</v>
      </c>
      <c r="AM74" s="5">
        <f t="shared" si="3"/>
        <v>4219.3127033535729</v>
      </c>
      <c r="AN74" s="1"/>
      <c r="AO74" s="5"/>
      <c r="AP74" s="1"/>
    </row>
    <row r="75" spans="2:42" ht="15.75" x14ac:dyDescent="0.25">
      <c r="B75" s="133">
        <v>2424</v>
      </c>
      <c r="C75" s="134" t="s">
        <v>87</v>
      </c>
      <c r="D75" s="113">
        <v>264</v>
      </c>
      <c r="E75" s="114" t="s">
        <v>5</v>
      </c>
      <c r="F75" s="115">
        <v>1418467.7617686668</v>
      </c>
      <c r="G75" s="116">
        <v>156097.13987362839</v>
      </c>
      <c r="H75" s="116">
        <v>1262370.6218950385</v>
      </c>
      <c r="I75" s="113">
        <v>268</v>
      </c>
      <c r="J75" s="117" t="s">
        <v>248</v>
      </c>
      <c r="K75" s="118"/>
      <c r="L75" s="119">
        <v>0</v>
      </c>
      <c r="M75" s="120">
        <v>1243435.0625666128</v>
      </c>
      <c r="N75" s="121">
        <v>4</v>
      </c>
      <c r="O75" s="122">
        <v>18839.925190403224</v>
      </c>
      <c r="P75" s="123">
        <v>1262274.987757016</v>
      </c>
      <c r="Q75" s="124"/>
      <c r="R75" s="135">
        <v>1224410.3789932069</v>
      </c>
      <c r="S75" s="136"/>
      <c r="T75" s="137"/>
      <c r="U75" s="138">
        <v>112027.08</v>
      </c>
      <c r="V75" s="138">
        <v>1112383.2989932068</v>
      </c>
      <c r="W75" s="139">
        <v>149891.68876380916</v>
      </c>
      <c r="X75" s="139">
        <v>1374302.067757016</v>
      </c>
      <c r="Z75" s="146"/>
      <c r="AA75" s="147"/>
      <c r="AB75" s="146"/>
      <c r="AC75" s="146"/>
      <c r="AD75" s="148">
        <f>VLOOKUP($B75,'Delegation in 13-14'!$B:$N,13,FALSE)</f>
        <v>19567.59470879933</v>
      </c>
      <c r="AE75" s="149"/>
      <c r="AF75" s="5">
        <f t="shared" si="0"/>
        <v>4782.9947106933405</v>
      </c>
      <c r="AG75" s="5">
        <f t="shared" si="1"/>
        <v>4855.826578044841</v>
      </c>
      <c r="AH75" s="6"/>
      <c r="AI75" s="1"/>
      <c r="AJ75" s="148">
        <f>VLOOKUP($B75,'Delegation in 13-14'!$B:$N,13,FALSE)</f>
        <v>19567.59470879933</v>
      </c>
      <c r="AK75" s="149"/>
      <c r="AL75" s="5">
        <f t="shared" si="2"/>
        <v>4223.6973645597245</v>
      </c>
      <c r="AM75" s="5">
        <f t="shared" si="3"/>
        <v>4288.0550296970787</v>
      </c>
      <c r="AN75" s="1"/>
      <c r="AO75" s="5"/>
      <c r="AP75" s="1"/>
    </row>
    <row r="76" spans="2:42" ht="15.75" x14ac:dyDescent="0.25">
      <c r="B76" s="133">
        <v>2439</v>
      </c>
      <c r="C76" s="134" t="s">
        <v>88</v>
      </c>
      <c r="D76" s="113">
        <v>234</v>
      </c>
      <c r="E76" s="114" t="s">
        <v>5</v>
      </c>
      <c r="F76" s="115">
        <v>754567.08455569018</v>
      </c>
      <c r="G76" s="116">
        <v>141783.41669505642</v>
      </c>
      <c r="H76" s="116">
        <v>612783.66786063369</v>
      </c>
      <c r="I76" s="113">
        <v>238</v>
      </c>
      <c r="J76" s="117" t="s">
        <v>248</v>
      </c>
      <c r="K76" s="118"/>
      <c r="L76" s="119">
        <v>0</v>
      </c>
      <c r="M76" s="120">
        <v>603591.91284272412</v>
      </c>
      <c r="N76" s="121">
        <v>4</v>
      </c>
      <c r="O76" s="122">
        <v>10317.810475944003</v>
      </c>
      <c r="P76" s="123">
        <v>613909.72331866808</v>
      </c>
      <c r="Q76" s="124"/>
      <c r="R76" s="135">
        <v>720046.98913369305</v>
      </c>
      <c r="S76" s="136"/>
      <c r="T76" s="137"/>
      <c r="U76" s="138">
        <v>108073</v>
      </c>
      <c r="V76" s="138">
        <v>611973.98913369305</v>
      </c>
      <c r="W76" s="139">
        <v>1935.7341849750374</v>
      </c>
      <c r="X76" s="139">
        <v>721982.72331866808</v>
      </c>
      <c r="Z76" s="146"/>
      <c r="AA76" s="147"/>
      <c r="AB76" s="146"/>
      <c r="AC76" s="146"/>
      <c r="AD76" s="148">
        <f>VLOOKUP($B76,'Delegation in 13-14'!$B:$N,13,FALSE)</f>
        <v>17377.192316023287</v>
      </c>
      <c r="AE76" s="149"/>
      <c r="AF76" s="5">
        <f t="shared" si="0"/>
        <v>2652.4660320785351</v>
      </c>
      <c r="AG76" s="5">
        <f t="shared" si="1"/>
        <v>2692.9951289600726</v>
      </c>
      <c r="AH76" s="6"/>
      <c r="AI76" s="1"/>
      <c r="AJ76" s="148">
        <f>VLOOKUP($B76,'Delegation in 13-14'!$B:$N,13,FALSE)</f>
        <v>17377.192316023287</v>
      </c>
      <c r="AK76" s="149"/>
      <c r="AL76" s="5">
        <f t="shared" si="2"/>
        <v>2644.3326951668755</v>
      </c>
      <c r="AM76" s="5">
        <f t="shared" si="3"/>
        <v>2684.7227606482134</v>
      </c>
      <c r="AN76" s="1"/>
      <c r="AO76" s="5"/>
      <c r="AP76" s="1"/>
    </row>
    <row r="77" spans="2:42" ht="15.75" x14ac:dyDescent="0.25">
      <c r="B77" s="133">
        <v>2440</v>
      </c>
      <c r="C77" s="134" t="s">
        <v>89</v>
      </c>
      <c r="D77" s="113">
        <v>274</v>
      </c>
      <c r="E77" s="114" t="s">
        <v>5</v>
      </c>
      <c r="F77" s="115">
        <v>885035.79258097324</v>
      </c>
      <c r="G77" s="116">
        <v>142592.71625306233</v>
      </c>
      <c r="H77" s="116">
        <v>742443.07632791088</v>
      </c>
      <c r="I77" s="113">
        <v>292</v>
      </c>
      <c r="J77" s="117" t="s">
        <v>248</v>
      </c>
      <c r="K77" s="118"/>
      <c r="L77" s="119">
        <v>0</v>
      </c>
      <c r="M77" s="120">
        <v>731306.43018299225</v>
      </c>
      <c r="N77" s="121">
        <v>18</v>
      </c>
      <c r="O77" s="122">
        <v>48042.028260196574</v>
      </c>
      <c r="P77" s="123">
        <v>779348.45844318881</v>
      </c>
      <c r="Q77" s="124"/>
      <c r="R77" s="135">
        <v>900950.33596617216</v>
      </c>
      <c r="S77" s="136"/>
      <c r="T77" s="137"/>
      <c r="U77" s="138">
        <v>133104.24</v>
      </c>
      <c r="V77" s="138">
        <v>767846.09596617217</v>
      </c>
      <c r="W77" s="139">
        <v>11502.362477016635</v>
      </c>
      <c r="X77" s="139">
        <v>912452.6984431888</v>
      </c>
      <c r="Z77" s="146"/>
      <c r="AA77" s="147"/>
      <c r="AB77" s="146"/>
      <c r="AC77" s="146"/>
      <c r="AD77" s="148">
        <f>VLOOKUP($B77,'Delegation in 13-14'!$B:$N,13,FALSE)</f>
        <v>21319.916623020166</v>
      </c>
      <c r="AE77" s="149"/>
      <c r="AF77" s="5">
        <f t="shared" si="0"/>
        <v>2742.0149831034555</v>
      </c>
      <c r="AG77" s="5">
        <f t="shared" si="1"/>
        <v>2787.456178653033</v>
      </c>
      <c r="AH77" s="6"/>
      <c r="AI77" s="1"/>
      <c r="AJ77" s="148">
        <f>VLOOKUP($B77,'Delegation in 13-14'!$B:$N,13,FALSE)</f>
        <v>21319.916623020166</v>
      </c>
      <c r="AK77" s="149"/>
      <c r="AL77" s="5">
        <f t="shared" si="2"/>
        <v>2702.6233307849052</v>
      </c>
      <c r="AM77" s="5">
        <f t="shared" si="3"/>
        <v>2745.4767535544324</v>
      </c>
      <c r="AN77" s="1"/>
      <c r="AO77" s="5"/>
      <c r="AP77" s="1"/>
    </row>
    <row r="78" spans="2:42" ht="15.75" x14ac:dyDescent="0.25">
      <c r="B78" s="133">
        <v>2462</v>
      </c>
      <c r="C78" s="134" t="s">
        <v>90</v>
      </c>
      <c r="D78" s="113">
        <v>217</v>
      </c>
      <c r="E78" s="114" t="s">
        <v>5</v>
      </c>
      <c r="F78" s="115">
        <v>910096.21911846939</v>
      </c>
      <c r="G78" s="116">
        <v>253135.22909607796</v>
      </c>
      <c r="H78" s="116">
        <v>656960.99002239143</v>
      </c>
      <c r="I78" s="113">
        <v>233</v>
      </c>
      <c r="J78" s="117" t="s">
        <v>248</v>
      </c>
      <c r="K78" s="118"/>
      <c r="L78" s="119">
        <v>0</v>
      </c>
      <c r="M78" s="120">
        <v>647106.57517205551</v>
      </c>
      <c r="N78" s="121">
        <v>16</v>
      </c>
      <c r="O78" s="122">
        <v>47712.927201626211</v>
      </c>
      <c r="P78" s="123">
        <v>694819.50237368175</v>
      </c>
      <c r="Q78" s="124"/>
      <c r="R78" s="135">
        <v>772950.08701408992</v>
      </c>
      <c r="S78" s="136"/>
      <c r="T78" s="137"/>
      <c r="U78" s="138">
        <v>113336.95999999999</v>
      </c>
      <c r="V78" s="138">
        <v>659613.12701408996</v>
      </c>
      <c r="W78" s="139">
        <v>35206.375359591795</v>
      </c>
      <c r="X78" s="139">
        <v>808156.46237368172</v>
      </c>
      <c r="Z78" s="146"/>
      <c r="AA78" s="147"/>
      <c r="AB78" s="146"/>
      <c r="AC78" s="146"/>
      <c r="AD78" s="148">
        <f>VLOOKUP($B78,'Delegation in 13-14'!$B:$N,13,FALSE)</f>
        <v>17012.125250560613</v>
      </c>
      <c r="AE78" s="149"/>
      <c r="AF78" s="5">
        <f t="shared" si="0"/>
        <v>3055.071363194173</v>
      </c>
      <c r="AG78" s="5">
        <f t="shared" si="1"/>
        <v>3105.866890658765</v>
      </c>
      <c r="AH78" s="6"/>
      <c r="AI78" s="1"/>
      <c r="AJ78" s="148">
        <f>VLOOKUP($B78,'Delegation in 13-14'!$B:$N,13,FALSE)</f>
        <v>17012.125250560613</v>
      </c>
      <c r="AK78" s="149"/>
      <c r="AL78" s="5">
        <f t="shared" si="2"/>
        <v>2903.9710397624485</v>
      </c>
      <c r="AM78" s="5">
        <f t="shared" si="3"/>
        <v>2943.6255295546553</v>
      </c>
      <c r="AN78" s="1"/>
      <c r="AO78" s="5"/>
      <c r="AP78" s="1"/>
    </row>
    <row r="79" spans="2:42" ht="15.75" x14ac:dyDescent="0.25">
      <c r="B79" s="133">
        <v>2463</v>
      </c>
      <c r="C79" s="134" t="s">
        <v>91</v>
      </c>
      <c r="D79" s="113">
        <v>281</v>
      </c>
      <c r="E79" s="114" t="s">
        <v>5</v>
      </c>
      <c r="F79" s="115">
        <v>902313.20951648301</v>
      </c>
      <c r="G79" s="116">
        <v>121958.85120102153</v>
      </c>
      <c r="H79" s="116">
        <v>780354.35831546143</v>
      </c>
      <c r="I79" s="113">
        <v>307</v>
      </c>
      <c r="J79" s="117" t="s">
        <v>248</v>
      </c>
      <c r="K79" s="118"/>
      <c r="L79" s="119">
        <v>0</v>
      </c>
      <c r="M79" s="120">
        <v>768649.04294072953</v>
      </c>
      <c r="N79" s="121">
        <v>26</v>
      </c>
      <c r="O79" s="122">
        <v>71120.552015868219</v>
      </c>
      <c r="P79" s="123">
        <v>839769.59495659778</v>
      </c>
      <c r="Q79" s="124"/>
      <c r="R79" s="135">
        <v>967544.35993991443</v>
      </c>
      <c r="S79" s="136"/>
      <c r="T79" s="137"/>
      <c r="U79" s="138">
        <v>113336.95999999999</v>
      </c>
      <c r="V79" s="138">
        <v>854207.39993991447</v>
      </c>
      <c r="W79" s="139">
        <v>0</v>
      </c>
      <c r="X79" s="139">
        <v>967544.35993991443</v>
      </c>
      <c r="Z79" s="146"/>
      <c r="AA79" s="147"/>
      <c r="AB79" s="146"/>
      <c r="AC79" s="146"/>
      <c r="AD79" s="148">
        <f>VLOOKUP($B79,'Delegation in 13-14'!$B:$N,13,FALSE)</f>
        <v>22415.117819408188</v>
      </c>
      <c r="AE79" s="149"/>
      <c r="AF79" s="5">
        <f t="shared" si="0"/>
        <v>2855.447940584113</v>
      </c>
      <c r="AG79" s="5">
        <f t="shared" si="1"/>
        <v>2856.830875924803</v>
      </c>
      <c r="AH79" s="6"/>
      <c r="AI79" s="1"/>
      <c r="AJ79" s="148">
        <f>VLOOKUP($B79,'Delegation in 13-14'!$B:$N,13,FALSE)</f>
        <v>22415.117819408188</v>
      </c>
      <c r="AK79" s="149"/>
      <c r="AL79" s="5">
        <f t="shared" si="2"/>
        <v>2855.447940584113</v>
      </c>
      <c r="AM79" s="5">
        <f t="shared" si="3"/>
        <v>2856.830875924803</v>
      </c>
      <c r="AN79" s="1"/>
      <c r="AO79" s="5"/>
      <c r="AP79" s="1"/>
    </row>
    <row r="80" spans="2:42" ht="15.75" x14ac:dyDescent="0.25">
      <c r="B80" s="133">
        <v>2505</v>
      </c>
      <c r="C80" s="134" t="s">
        <v>92</v>
      </c>
      <c r="D80" s="113">
        <v>410</v>
      </c>
      <c r="E80" s="114" t="s">
        <v>5</v>
      </c>
      <c r="F80" s="115">
        <v>1862143.9137261624</v>
      </c>
      <c r="G80" s="116">
        <v>388781.47184607718</v>
      </c>
      <c r="H80" s="116">
        <v>1473362.4418800853</v>
      </c>
      <c r="I80" s="113">
        <v>436</v>
      </c>
      <c r="J80" s="117" t="s">
        <v>248</v>
      </c>
      <c r="K80" s="118"/>
      <c r="L80" s="119">
        <v>0</v>
      </c>
      <c r="M80" s="120">
        <v>1451262.005251884</v>
      </c>
      <c r="N80" s="121">
        <v>26</v>
      </c>
      <c r="O80" s="122">
        <v>92031.249113534112</v>
      </c>
      <c r="P80" s="123">
        <v>1543293.2543654181</v>
      </c>
      <c r="Q80" s="124"/>
      <c r="R80" s="135">
        <v>1641414.4364502174</v>
      </c>
      <c r="S80" s="136"/>
      <c r="T80" s="137"/>
      <c r="U80" s="138">
        <v>127864.27428571429</v>
      </c>
      <c r="V80" s="138">
        <v>1513550.162164503</v>
      </c>
      <c r="W80" s="139">
        <v>29743.092200915096</v>
      </c>
      <c r="X80" s="139">
        <v>1671157.5286511325</v>
      </c>
      <c r="Z80" s="146"/>
      <c r="AA80" s="147"/>
      <c r="AB80" s="146"/>
      <c r="AC80" s="146"/>
      <c r="AD80" s="148">
        <f>VLOOKUP($B80,'Delegation in 13-14'!$B:$N,13,FALSE)</f>
        <v>31833.848108345181</v>
      </c>
      <c r="AE80" s="149"/>
      <c r="AF80" s="5">
        <f t="shared" si="0"/>
        <v>3612.6768405361545</v>
      </c>
      <c r="AG80" s="5">
        <f t="shared" si="1"/>
        <v>3671.2104633864155</v>
      </c>
      <c r="AH80" s="6"/>
      <c r="AI80" s="1"/>
      <c r="AJ80" s="148">
        <f>VLOOKUP($B80,'Delegation in 13-14'!$B:$N,13,FALSE)</f>
        <v>31833.848108345181</v>
      </c>
      <c r="AK80" s="149"/>
      <c r="AL80" s="5">
        <f t="shared" si="2"/>
        <v>3544.4587391579089</v>
      </c>
      <c r="AM80" s="5">
        <f t="shared" si="3"/>
        <v>3598.6663360671105</v>
      </c>
      <c r="AN80" s="1"/>
      <c r="AO80" s="5"/>
      <c r="AP80" s="1"/>
    </row>
    <row r="81" spans="2:42" ht="15.75" x14ac:dyDescent="0.25">
      <c r="B81" s="133">
        <v>2000</v>
      </c>
      <c r="C81" s="134" t="s">
        <v>93</v>
      </c>
      <c r="D81" s="113">
        <v>286</v>
      </c>
      <c r="E81" s="114" t="s">
        <v>5</v>
      </c>
      <c r="F81" s="115">
        <v>1645034.8406083644</v>
      </c>
      <c r="G81" s="116">
        <v>694833.99012648221</v>
      </c>
      <c r="H81" s="116">
        <v>950200.85048188223</v>
      </c>
      <c r="I81" s="113">
        <v>279</v>
      </c>
      <c r="J81" s="117" t="s">
        <v>248</v>
      </c>
      <c r="K81" s="118"/>
      <c r="L81" s="119">
        <v>0</v>
      </c>
      <c r="M81" s="120">
        <v>935947.837724654</v>
      </c>
      <c r="N81" s="121">
        <v>-7</v>
      </c>
      <c r="O81" s="122">
        <v>-22907.81421004398</v>
      </c>
      <c r="P81" s="123">
        <v>913040.02351461002</v>
      </c>
      <c r="Q81" s="124"/>
      <c r="R81" s="135">
        <v>1034930.5407924049</v>
      </c>
      <c r="S81" s="136"/>
      <c r="T81" s="137"/>
      <c r="U81" s="138">
        <v>115837.64</v>
      </c>
      <c r="V81" s="138">
        <v>919092.90079240489</v>
      </c>
      <c r="W81" s="139">
        <v>0</v>
      </c>
      <c r="X81" s="139">
        <v>1034930.5407924049</v>
      </c>
      <c r="Z81" s="146"/>
      <c r="AA81" s="147"/>
      <c r="AB81" s="146"/>
      <c r="AC81" s="146"/>
      <c r="AD81" s="148">
        <f>VLOOKUP($B81,'Delegation in 13-14'!$B:$N,13,FALSE)</f>
        <v>20370.742252817214</v>
      </c>
      <c r="AE81" s="149"/>
      <c r="AF81" s="5">
        <f t="shared" si="0"/>
        <v>3367.2532008789326</v>
      </c>
      <c r="AG81" s="5">
        <f t="shared" si="1"/>
        <v>3393.6069676038442</v>
      </c>
      <c r="AH81" s="6"/>
      <c r="AI81" s="1"/>
      <c r="AJ81" s="148">
        <f>VLOOKUP($B81,'Delegation in 13-14'!$B:$N,13,FALSE)</f>
        <v>20370.742252817214</v>
      </c>
      <c r="AK81" s="149"/>
      <c r="AL81" s="5">
        <f t="shared" si="2"/>
        <v>3367.2532008789326</v>
      </c>
      <c r="AM81" s="5">
        <f t="shared" si="3"/>
        <v>3393.6069676038442</v>
      </c>
      <c r="AN81" s="1"/>
      <c r="AO81" s="5"/>
      <c r="AP81" s="1"/>
    </row>
    <row r="82" spans="2:42" ht="15.75" x14ac:dyDescent="0.25">
      <c r="B82" s="133">
        <v>2458</v>
      </c>
      <c r="C82" s="134" t="s">
        <v>94</v>
      </c>
      <c r="D82" s="113">
        <v>268</v>
      </c>
      <c r="E82" s="114" t="s">
        <v>5</v>
      </c>
      <c r="F82" s="115">
        <v>984224.62142222782</v>
      </c>
      <c r="G82" s="116">
        <v>155583.68831240438</v>
      </c>
      <c r="H82" s="116">
        <v>828640.93310982338</v>
      </c>
      <c r="I82" s="113">
        <v>269</v>
      </c>
      <c r="J82" s="117" t="s">
        <v>248</v>
      </c>
      <c r="K82" s="118"/>
      <c r="L82" s="119">
        <v>0</v>
      </c>
      <c r="M82" s="120">
        <v>816211.31911317597</v>
      </c>
      <c r="N82" s="121">
        <v>1</v>
      </c>
      <c r="O82" s="122">
        <v>3045.5646235566269</v>
      </c>
      <c r="P82" s="123">
        <v>819256.88373673265</v>
      </c>
      <c r="Q82" s="124"/>
      <c r="R82" s="135">
        <v>981680.37128013559</v>
      </c>
      <c r="S82" s="136"/>
      <c r="T82" s="137"/>
      <c r="U82" s="138">
        <v>103165.75999999999</v>
      </c>
      <c r="V82" s="138">
        <v>878514.61128013558</v>
      </c>
      <c r="W82" s="139">
        <v>0</v>
      </c>
      <c r="X82" s="139">
        <v>981680.37128013559</v>
      </c>
      <c r="Z82" s="146"/>
      <c r="AA82" s="147"/>
      <c r="AB82" s="146"/>
      <c r="AC82" s="146"/>
      <c r="AD82" s="148">
        <f>VLOOKUP($B82,'Delegation in 13-14'!$B:$N,13,FALSE)</f>
        <v>19640.608121891866</v>
      </c>
      <c r="AE82" s="149"/>
      <c r="AF82" s="5">
        <f t="shared" si="0"/>
        <v>3338.8669866246373</v>
      </c>
      <c r="AG82" s="5">
        <f t="shared" si="1"/>
        <v>3165.2296314616242</v>
      </c>
      <c r="AH82" s="6"/>
      <c r="AI82" s="1"/>
      <c r="AJ82" s="148">
        <f>VLOOKUP($B82,'Delegation in 13-14'!$B:$N,13,FALSE)</f>
        <v>19640.608121891866</v>
      </c>
      <c r="AK82" s="149"/>
      <c r="AL82" s="5">
        <f t="shared" si="2"/>
        <v>3338.8669866246373</v>
      </c>
      <c r="AM82" s="5">
        <f t="shared" si="3"/>
        <v>3165.2296314616242</v>
      </c>
      <c r="AN82" s="1"/>
      <c r="AO82" s="5"/>
      <c r="AP82" s="1"/>
    </row>
    <row r="83" spans="2:42" ht="15.75" x14ac:dyDescent="0.25">
      <c r="B83" s="133">
        <v>2001</v>
      </c>
      <c r="C83" s="134" t="s">
        <v>95</v>
      </c>
      <c r="D83" s="113">
        <v>290</v>
      </c>
      <c r="E83" s="114" t="s">
        <v>5</v>
      </c>
      <c r="F83" s="115">
        <v>1453673.874928185</v>
      </c>
      <c r="G83" s="116">
        <v>314051.76995861036</v>
      </c>
      <c r="H83" s="116">
        <v>1139622.1049695746</v>
      </c>
      <c r="I83" s="113">
        <v>311</v>
      </c>
      <c r="J83" s="117" t="s">
        <v>248</v>
      </c>
      <c r="K83" s="118"/>
      <c r="L83" s="119">
        <v>0</v>
      </c>
      <c r="M83" s="120">
        <v>1122527.773395031</v>
      </c>
      <c r="N83" s="121">
        <v>21</v>
      </c>
      <c r="O83" s="122">
        <v>81286.493935502251</v>
      </c>
      <c r="P83" s="123">
        <v>1203814.2673305334</v>
      </c>
      <c r="Q83" s="124"/>
      <c r="R83" s="135">
        <v>1359152.2899961201</v>
      </c>
      <c r="S83" s="136"/>
      <c r="T83" s="137"/>
      <c r="U83" s="138">
        <v>117981.08</v>
      </c>
      <c r="V83" s="138">
        <v>1241171.2099961201</v>
      </c>
      <c r="W83" s="139">
        <v>0</v>
      </c>
      <c r="X83" s="139">
        <v>1359152.2899961201</v>
      </c>
      <c r="Z83" s="146"/>
      <c r="AA83" s="147"/>
      <c r="AB83" s="146"/>
      <c r="AC83" s="146"/>
      <c r="AD83" s="148">
        <f>VLOOKUP($B83,'Delegation in 13-14'!$B:$N,13,FALSE)</f>
        <v>22707.171471778329</v>
      </c>
      <c r="AE83" s="149"/>
      <c r="AF83" s="5">
        <f t="shared" si="0"/>
        <v>4063.9176252987086</v>
      </c>
      <c r="AG83" s="5">
        <f t="shared" si="1"/>
        <v>4008.031987728803</v>
      </c>
      <c r="AH83" s="6"/>
      <c r="AI83" s="1"/>
      <c r="AJ83" s="148">
        <f>VLOOKUP($B83,'Delegation in 13-14'!$B:$N,13,FALSE)</f>
        <v>22707.171471778329</v>
      </c>
      <c r="AK83" s="149"/>
      <c r="AL83" s="5">
        <f t="shared" si="2"/>
        <v>4063.9176252987086</v>
      </c>
      <c r="AM83" s="5">
        <f t="shared" si="3"/>
        <v>4008.031987728803</v>
      </c>
      <c r="AN83" s="1"/>
      <c r="AO83" s="5"/>
      <c r="AP83" s="1"/>
    </row>
    <row r="84" spans="2:42" ht="15.75" x14ac:dyDescent="0.25">
      <c r="B84" s="133">
        <v>2429</v>
      </c>
      <c r="C84" s="134" t="s">
        <v>96</v>
      </c>
      <c r="D84" s="113">
        <v>151</v>
      </c>
      <c r="E84" s="114" t="s">
        <v>5</v>
      </c>
      <c r="F84" s="115">
        <v>900107.47914430103</v>
      </c>
      <c r="G84" s="116">
        <v>284109.60206575354</v>
      </c>
      <c r="H84" s="116">
        <v>615997.87707854749</v>
      </c>
      <c r="I84" s="113">
        <v>151</v>
      </c>
      <c r="J84" s="117" t="s">
        <v>248</v>
      </c>
      <c r="K84" s="118"/>
      <c r="L84" s="119">
        <v>0</v>
      </c>
      <c r="M84" s="120">
        <v>606757.90892236924</v>
      </c>
      <c r="N84" s="121">
        <v>0</v>
      </c>
      <c r="O84" s="122">
        <v>0</v>
      </c>
      <c r="P84" s="123">
        <v>606757.90892236924</v>
      </c>
      <c r="Q84" s="124"/>
      <c r="R84" s="135">
        <v>726073.07091075485</v>
      </c>
      <c r="S84" s="136"/>
      <c r="T84" s="137"/>
      <c r="U84" s="138">
        <v>108811.92</v>
      </c>
      <c r="V84" s="138">
        <v>617261.1509107548</v>
      </c>
      <c r="W84" s="139">
        <v>0</v>
      </c>
      <c r="X84" s="139">
        <v>726073.07091075485</v>
      </c>
      <c r="Z84" s="146"/>
      <c r="AA84" s="147"/>
      <c r="AB84" s="146"/>
      <c r="AC84" s="146"/>
      <c r="AD84" s="148">
        <f>VLOOKUP($B84,'Delegation in 13-14'!$B:$N,13,FALSE)</f>
        <v>11025.025376972757</v>
      </c>
      <c r="AE84" s="149"/>
      <c r="AF84" s="5">
        <f t="shared" si="0"/>
        <v>4160.835604554487</v>
      </c>
      <c r="AG84" s="5">
        <f t="shared" si="1"/>
        <v>4152.4695526855648</v>
      </c>
      <c r="AH84" s="6"/>
      <c r="AI84" s="1"/>
      <c r="AJ84" s="148">
        <f>VLOOKUP($B84,'Delegation in 13-14'!$B:$N,13,FALSE)</f>
        <v>11025.025376972757</v>
      </c>
      <c r="AK84" s="149"/>
      <c r="AL84" s="5">
        <f t="shared" si="2"/>
        <v>4160.835604554487</v>
      </c>
      <c r="AM84" s="5">
        <f t="shared" si="3"/>
        <v>4152.4695526855648</v>
      </c>
      <c r="AN84" s="1"/>
      <c r="AO84" s="5"/>
      <c r="AP84" s="1"/>
    </row>
    <row r="85" spans="2:42" ht="15.75" x14ac:dyDescent="0.25">
      <c r="B85" s="133">
        <v>2444</v>
      </c>
      <c r="C85" s="134" t="s">
        <v>97</v>
      </c>
      <c r="D85" s="113">
        <v>209</v>
      </c>
      <c r="E85" s="114" t="s">
        <v>5</v>
      </c>
      <c r="F85" s="115">
        <v>971269.63961266226</v>
      </c>
      <c r="G85" s="116">
        <v>288557.23525220039</v>
      </c>
      <c r="H85" s="116">
        <v>682712.40436046186</v>
      </c>
      <c r="I85" s="113">
        <v>209</v>
      </c>
      <c r="J85" s="117" t="s">
        <v>248</v>
      </c>
      <c r="K85" s="118"/>
      <c r="L85" s="119">
        <v>0</v>
      </c>
      <c r="M85" s="120">
        <v>672471.71829505498</v>
      </c>
      <c r="N85" s="121">
        <v>0</v>
      </c>
      <c r="O85" s="122">
        <v>0</v>
      </c>
      <c r="P85" s="123">
        <v>672471.71829505498</v>
      </c>
      <c r="Q85" s="124"/>
      <c r="R85" s="135">
        <v>774909.63329198456</v>
      </c>
      <c r="S85" s="136"/>
      <c r="T85" s="137"/>
      <c r="U85" s="138">
        <v>109169.16</v>
      </c>
      <c r="V85" s="138">
        <v>665740.47329198453</v>
      </c>
      <c r="W85" s="139">
        <v>6731.2450030704495</v>
      </c>
      <c r="X85" s="139">
        <v>781640.87829505501</v>
      </c>
      <c r="Z85" s="146"/>
      <c r="AA85" s="147"/>
      <c r="AB85" s="146"/>
      <c r="AC85" s="146"/>
      <c r="AD85" s="148">
        <f>VLOOKUP($B85,'Delegation in 13-14'!$B:$N,13,FALSE)</f>
        <v>15259.803336339777</v>
      </c>
      <c r="AE85" s="149"/>
      <c r="AF85" s="5">
        <f t="shared" si="0"/>
        <v>3290.5814432124153</v>
      </c>
      <c r="AG85" s="5">
        <f t="shared" si="1"/>
        <v>3339.5799411330222</v>
      </c>
      <c r="AH85" s="6"/>
      <c r="AI85" s="1"/>
      <c r="AJ85" s="148">
        <f>VLOOKUP($B85,'Delegation in 13-14'!$B:$N,13,FALSE)</f>
        <v>15259.803336339777</v>
      </c>
      <c r="AK85" s="149"/>
      <c r="AL85" s="5">
        <f t="shared" si="2"/>
        <v>3258.3745293221259</v>
      </c>
      <c r="AM85" s="5">
        <f t="shared" si="3"/>
        <v>3307.3730272427329</v>
      </c>
      <c r="AN85" s="1"/>
      <c r="AO85" s="5"/>
      <c r="AP85" s="1"/>
    </row>
    <row r="86" spans="2:42" ht="15.75" x14ac:dyDescent="0.25">
      <c r="B86" s="133">
        <v>5209</v>
      </c>
      <c r="C86" s="134" t="s">
        <v>98</v>
      </c>
      <c r="D86" s="113">
        <v>265</v>
      </c>
      <c r="E86" s="114" t="s">
        <v>5</v>
      </c>
      <c r="F86" s="115">
        <v>1016666.9657601618</v>
      </c>
      <c r="G86" s="116">
        <v>106692.62317857197</v>
      </c>
      <c r="H86" s="116">
        <v>909974.34258158982</v>
      </c>
      <c r="I86" s="113">
        <v>279</v>
      </c>
      <c r="J86" s="117" t="s">
        <v>248</v>
      </c>
      <c r="K86" s="118"/>
      <c r="L86" s="119">
        <v>0</v>
      </c>
      <c r="M86" s="120">
        <v>896324.72744286596</v>
      </c>
      <c r="N86" s="121">
        <v>14</v>
      </c>
      <c r="O86" s="122">
        <v>47353.004468679705</v>
      </c>
      <c r="P86" s="123">
        <v>943677.73191154562</v>
      </c>
      <c r="Q86" s="124"/>
      <c r="R86" s="135">
        <v>1050295.9482752644</v>
      </c>
      <c r="S86" s="136"/>
      <c r="T86" s="137"/>
      <c r="U86" s="138">
        <v>102300.376</v>
      </c>
      <c r="V86" s="138">
        <v>947995.57227526431</v>
      </c>
      <c r="W86" s="139">
        <v>0</v>
      </c>
      <c r="X86" s="139">
        <v>1050295.9482752644</v>
      </c>
      <c r="Z86" s="146"/>
      <c r="AA86" s="147"/>
      <c r="AB86" s="146"/>
      <c r="AC86" s="146"/>
      <c r="AD86" s="148">
        <f>VLOOKUP($B86,'Delegation in 13-14'!$B:$N,13,FALSE)</f>
        <v>20370.742252817214</v>
      </c>
      <c r="AE86" s="149"/>
      <c r="AF86" s="5">
        <f t="shared" si="0"/>
        <v>3470.847005476995</v>
      </c>
      <c r="AG86" s="5">
        <f t="shared" si="1"/>
        <v>3510.7361691864417</v>
      </c>
      <c r="AH86" s="6"/>
      <c r="AI86" s="1"/>
      <c r="AJ86" s="148">
        <f>VLOOKUP($B86,'Delegation in 13-14'!$B:$N,13,FALSE)</f>
        <v>20370.742252817214</v>
      </c>
      <c r="AK86" s="149"/>
      <c r="AL86" s="5">
        <f t="shared" si="2"/>
        <v>3470.847005476995</v>
      </c>
      <c r="AM86" s="5">
        <f t="shared" si="3"/>
        <v>3510.7361691864417</v>
      </c>
      <c r="AN86" s="1"/>
      <c r="AO86" s="5"/>
      <c r="AP86" s="1"/>
    </row>
    <row r="87" spans="2:42" ht="15.75" x14ac:dyDescent="0.25">
      <c r="B87" s="133">
        <v>2469</v>
      </c>
      <c r="C87" s="134" t="s">
        <v>99</v>
      </c>
      <c r="D87" s="113">
        <v>360</v>
      </c>
      <c r="E87" s="114" t="s">
        <v>5</v>
      </c>
      <c r="F87" s="115">
        <v>1216693.7480312663</v>
      </c>
      <c r="G87" s="116">
        <v>162683.45128281316</v>
      </c>
      <c r="H87" s="116">
        <v>1054010.2967484531</v>
      </c>
      <c r="I87" s="113">
        <v>386</v>
      </c>
      <c r="J87" s="117" t="s">
        <v>248</v>
      </c>
      <c r="K87" s="118"/>
      <c r="L87" s="119">
        <v>0</v>
      </c>
      <c r="M87" s="120">
        <v>1038200.1422972262</v>
      </c>
      <c r="N87" s="121">
        <v>26</v>
      </c>
      <c r="O87" s="122">
        <v>74981.121388133004</v>
      </c>
      <c r="P87" s="123">
        <v>1113181.2636853592</v>
      </c>
      <c r="Q87" s="124"/>
      <c r="R87" s="135">
        <v>1198326.8180718222</v>
      </c>
      <c r="S87" s="136"/>
      <c r="T87" s="137"/>
      <c r="U87" s="138">
        <v>113932.36</v>
      </c>
      <c r="V87" s="138">
        <v>1084394.4580718221</v>
      </c>
      <c r="W87" s="139">
        <v>28786.805613537086</v>
      </c>
      <c r="X87" s="139">
        <v>1227113.6236853593</v>
      </c>
      <c r="Z87" s="146"/>
      <c r="AA87" s="147"/>
      <c r="AB87" s="146"/>
      <c r="AC87" s="146"/>
      <c r="AD87" s="148">
        <f>VLOOKUP($B87,'Delegation in 13-14'!$B:$N,13,FALSE)</f>
        <v>28183.177453718439</v>
      </c>
      <c r="AE87" s="149"/>
      <c r="AF87" s="5">
        <f t="shared" si="0"/>
        <v>2956.9026972514962</v>
      </c>
      <c r="AG87" s="5">
        <f t="shared" si="1"/>
        <v>3006.0929838949205</v>
      </c>
      <c r="AH87" s="6"/>
      <c r="AI87" s="1"/>
      <c r="AJ87" s="148">
        <f>VLOOKUP($B87,'Delegation in 13-14'!$B:$N,13,FALSE)</f>
        <v>28183.177453718439</v>
      </c>
      <c r="AK87" s="149"/>
      <c r="AL87" s="5">
        <f t="shared" si="2"/>
        <v>2882.3254806361151</v>
      </c>
      <c r="AM87" s="5">
        <f t="shared" si="3"/>
        <v>2926.1296349684289</v>
      </c>
      <c r="AN87" s="1"/>
      <c r="AO87" s="5"/>
      <c r="AP87" s="1"/>
    </row>
    <row r="88" spans="2:42" ht="15.75" x14ac:dyDescent="0.25">
      <c r="B88" s="133">
        <v>2430</v>
      </c>
      <c r="C88" s="134" t="s">
        <v>100</v>
      </c>
      <c r="D88" s="113">
        <v>116</v>
      </c>
      <c r="E88" s="114" t="s">
        <v>5</v>
      </c>
      <c r="F88" s="115">
        <v>707614.15519092383</v>
      </c>
      <c r="G88" s="116">
        <v>178974.43663131664</v>
      </c>
      <c r="H88" s="116">
        <v>528639.71855960716</v>
      </c>
      <c r="I88" s="113">
        <v>112</v>
      </c>
      <c r="J88" s="117" t="s">
        <v>248</v>
      </c>
      <c r="K88" s="118"/>
      <c r="L88" s="119">
        <v>0</v>
      </c>
      <c r="M88" s="120">
        <v>520710.12278121302</v>
      </c>
      <c r="N88" s="121">
        <v>-4</v>
      </c>
      <c r="O88" s="122">
        <v>-17955.521475214242</v>
      </c>
      <c r="P88" s="123">
        <v>502754.6013059988</v>
      </c>
      <c r="Q88" s="124"/>
      <c r="R88" s="135">
        <v>612087.52942183043</v>
      </c>
      <c r="S88" s="136"/>
      <c r="T88" s="137"/>
      <c r="U88" s="138">
        <v>119171.88</v>
      </c>
      <c r="V88" s="138">
        <v>492915.64942183043</v>
      </c>
      <c r="W88" s="139">
        <v>9838.9518841683748</v>
      </c>
      <c r="X88" s="139">
        <v>621926.48130599875</v>
      </c>
      <c r="Z88" s="146"/>
      <c r="AA88" s="147"/>
      <c r="AB88" s="146"/>
      <c r="AC88" s="146"/>
      <c r="AD88" s="148">
        <f>VLOOKUP($B88,'Delegation in 13-14'!$B:$N,13,FALSE)</f>
        <v>8177.5022663638993</v>
      </c>
      <c r="AE88" s="149"/>
      <c r="AF88" s="5">
        <f t="shared" si="0"/>
        <v>4561.8937818960949</v>
      </c>
      <c r="AG88" s="5">
        <f t="shared" si="1"/>
        <v>4627.7346622928544</v>
      </c>
      <c r="AH88" s="6"/>
      <c r="AI88" s="1"/>
      <c r="AJ88" s="148">
        <f>VLOOKUP($B88,'Delegation in 13-14'!$B:$N,13,FALSE)</f>
        <v>8177.5022663638993</v>
      </c>
      <c r="AK88" s="149"/>
      <c r="AL88" s="5">
        <f t="shared" si="2"/>
        <v>4474.0459972160197</v>
      </c>
      <c r="AM88" s="5">
        <f t="shared" si="3"/>
        <v>4542.9161115672641</v>
      </c>
      <c r="AN88" s="1"/>
      <c r="AO88" s="5"/>
      <c r="AP88" s="1"/>
    </row>
    <row r="89" spans="2:42" ht="15.75" x14ac:dyDescent="0.25">
      <c r="B89" s="133">
        <v>2466</v>
      </c>
      <c r="C89" s="134" t="s">
        <v>101</v>
      </c>
      <c r="D89" s="113">
        <v>133</v>
      </c>
      <c r="E89" s="114" t="s">
        <v>5</v>
      </c>
      <c r="F89" s="115">
        <v>574311.92216665018</v>
      </c>
      <c r="G89" s="116">
        <v>148067.97682216426</v>
      </c>
      <c r="H89" s="116">
        <v>426243.94534448592</v>
      </c>
      <c r="I89" s="113">
        <v>164</v>
      </c>
      <c r="J89" s="117" t="s">
        <v>248</v>
      </c>
      <c r="K89" s="118"/>
      <c r="L89" s="119">
        <v>0</v>
      </c>
      <c r="M89" s="120">
        <v>419850.28616431862</v>
      </c>
      <c r="N89" s="121">
        <v>31</v>
      </c>
      <c r="O89" s="122">
        <v>97859.841136044182</v>
      </c>
      <c r="P89" s="123">
        <v>517710.1273003628</v>
      </c>
      <c r="Q89" s="124"/>
      <c r="R89" s="135">
        <v>604229.00961203955</v>
      </c>
      <c r="S89" s="136"/>
      <c r="T89" s="137"/>
      <c r="U89" s="138">
        <v>111908</v>
      </c>
      <c r="V89" s="138">
        <v>492321.00961203955</v>
      </c>
      <c r="W89" s="139">
        <v>25389.117688323255</v>
      </c>
      <c r="X89" s="139">
        <v>629618.1273003628</v>
      </c>
      <c r="Z89" s="146"/>
      <c r="AA89" s="147"/>
      <c r="AB89" s="146"/>
      <c r="AC89" s="146"/>
      <c r="AD89" s="148">
        <f>VLOOKUP($B89,'Delegation in 13-14'!$B:$N,13,FALSE)</f>
        <v>11974.199747175709</v>
      </c>
      <c r="AE89" s="149"/>
      <c r="AF89" s="5">
        <f t="shared" si="0"/>
        <v>3229.7824819971856</v>
      </c>
      <c r="AG89" s="5">
        <f t="shared" si="1"/>
        <v>3294.8732713658769</v>
      </c>
      <c r="AH89" s="6"/>
      <c r="AI89" s="1"/>
      <c r="AJ89" s="148">
        <f>VLOOKUP($B89,'Delegation in 13-14'!$B:$N,13,FALSE)</f>
        <v>11974.199747175709</v>
      </c>
      <c r="AK89" s="149"/>
      <c r="AL89" s="5">
        <f t="shared" si="2"/>
        <v>3074.9707887757027</v>
      </c>
      <c r="AM89" s="5">
        <f t="shared" si="3"/>
        <v>3103.9776496491609</v>
      </c>
      <c r="AN89" s="1"/>
      <c r="AO89" s="5"/>
      <c r="AP89" s="1"/>
    </row>
    <row r="90" spans="2:42" ht="15.75" x14ac:dyDescent="0.25">
      <c r="B90" s="133">
        <v>3543</v>
      </c>
      <c r="C90" s="134" t="s">
        <v>102</v>
      </c>
      <c r="D90" s="113">
        <v>277</v>
      </c>
      <c r="E90" s="114" t="s">
        <v>5</v>
      </c>
      <c r="F90" s="115">
        <v>1059150.3560245901</v>
      </c>
      <c r="G90" s="116">
        <v>230811.78157449988</v>
      </c>
      <c r="H90" s="116">
        <v>828338.57445009018</v>
      </c>
      <c r="I90" s="113">
        <v>286</v>
      </c>
      <c r="J90" s="117" t="s">
        <v>248</v>
      </c>
      <c r="K90" s="118"/>
      <c r="L90" s="119">
        <v>0</v>
      </c>
      <c r="M90" s="120">
        <v>815913.49583333882</v>
      </c>
      <c r="N90" s="121">
        <v>9</v>
      </c>
      <c r="O90" s="122">
        <v>26509.824774368408</v>
      </c>
      <c r="P90" s="123">
        <v>842423.32060770725</v>
      </c>
      <c r="Q90" s="124"/>
      <c r="R90" s="135">
        <v>961618.30307244265</v>
      </c>
      <c r="S90" s="136"/>
      <c r="T90" s="137"/>
      <c r="U90" s="138">
        <v>102869.776</v>
      </c>
      <c r="V90" s="138">
        <v>858748.5270724427</v>
      </c>
      <c r="W90" s="139">
        <v>0</v>
      </c>
      <c r="X90" s="139">
        <v>961618.30307244265</v>
      </c>
      <c r="Z90" s="146"/>
      <c r="AA90" s="147"/>
      <c r="AB90" s="146"/>
      <c r="AC90" s="146"/>
      <c r="AD90" s="148">
        <f>VLOOKUP($B90,'Delegation in 13-14'!$B:$N,13,FALSE)</f>
        <v>20881.83614446496</v>
      </c>
      <c r="AE90" s="149"/>
      <c r="AF90" s="5">
        <f t="shared" si="0"/>
        <v>3075.6306406185581</v>
      </c>
      <c r="AG90" s="5">
        <f t="shared" si="1"/>
        <v>3065.7776555760111</v>
      </c>
      <c r="AH90" s="6"/>
      <c r="AI90" s="1"/>
      <c r="AJ90" s="148">
        <f>VLOOKUP($B90,'Delegation in 13-14'!$B:$N,13,FALSE)</f>
        <v>20881.83614446496</v>
      </c>
      <c r="AK90" s="149"/>
      <c r="AL90" s="5">
        <f t="shared" si="2"/>
        <v>3075.6306406185581</v>
      </c>
      <c r="AM90" s="5">
        <f t="shared" si="3"/>
        <v>3065.7776555760111</v>
      </c>
      <c r="AN90" s="1"/>
      <c r="AO90" s="5"/>
      <c r="AP90" s="1"/>
    </row>
    <row r="91" spans="2:42" ht="15.75" x14ac:dyDescent="0.25">
      <c r="B91" s="133">
        <v>3158</v>
      </c>
      <c r="C91" s="134" t="s">
        <v>103</v>
      </c>
      <c r="D91" s="113">
        <v>119</v>
      </c>
      <c r="E91" s="114" t="s">
        <v>5</v>
      </c>
      <c r="F91" s="115">
        <v>755539.91968605737</v>
      </c>
      <c r="G91" s="116">
        <v>280681.31287529669</v>
      </c>
      <c r="H91" s="116">
        <v>474858.60681076068</v>
      </c>
      <c r="I91" s="113">
        <v>120</v>
      </c>
      <c r="J91" s="117" t="s">
        <v>248</v>
      </c>
      <c r="K91" s="118"/>
      <c r="L91" s="119">
        <v>0</v>
      </c>
      <c r="M91" s="120">
        <v>467735.72770859924</v>
      </c>
      <c r="N91" s="121">
        <v>1</v>
      </c>
      <c r="O91" s="122">
        <v>3930.5523336857077</v>
      </c>
      <c r="P91" s="123">
        <v>471666.28004228493</v>
      </c>
      <c r="Q91" s="124"/>
      <c r="R91" s="135">
        <v>570737.39882468106</v>
      </c>
      <c r="S91" s="136"/>
      <c r="T91" s="137"/>
      <c r="U91" s="138">
        <v>101399.56544000001</v>
      </c>
      <c r="V91" s="138">
        <v>469337.83338468103</v>
      </c>
      <c r="W91" s="139">
        <v>2328.4466576038976</v>
      </c>
      <c r="X91" s="139">
        <v>573065.8454822849</v>
      </c>
      <c r="Z91" s="146"/>
      <c r="AA91" s="147"/>
      <c r="AB91" s="146"/>
      <c r="AC91" s="146"/>
      <c r="AD91" s="148">
        <f>VLOOKUP($B91,'Delegation in 13-14'!$B:$N,13,FALSE)</f>
        <v>8761.609571104178</v>
      </c>
      <c r="AE91" s="149"/>
      <c r="AF91" s="5">
        <f t="shared" si="0"/>
        <v>4003.5657467782421</v>
      </c>
      <c r="AG91" s="5">
        <f t="shared" si="1"/>
        <v>4064.0354317803767</v>
      </c>
      <c r="AH91" s="6"/>
      <c r="AI91" s="1"/>
      <c r="AJ91" s="148">
        <f>VLOOKUP($B91,'Delegation in 13-14'!$B:$N,13,FALSE)</f>
        <v>8761.609571104178</v>
      </c>
      <c r="AK91" s="149"/>
      <c r="AL91" s="5">
        <f t="shared" si="2"/>
        <v>3984.1620246315429</v>
      </c>
      <c r="AM91" s="5">
        <f t="shared" si="3"/>
        <v>4044.4686531450502</v>
      </c>
      <c r="AN91" s="1"/>
      <c r="AO91" s="5"/>
      <c r="AP91" s="1"/>
    </row>
    <row r="92" spans="2:42" ht="15.75" x14ac:dyDescent="0.25">
      <c r="B92" s="171">
        <v>3531</v>
      </c>
      <c r="C92" s="172" t="s">
        <v>104</v>
      </c>
      <c r="D92" s="113">
        <v>345</v>
      </c>
      <c r="E92" s="114" t="s">
        <v>5</v>
      </c>
      <c r="F92" s="115">
        <v>1296596.3165050815</v>
      </c>
      <c r="G92" s="116">
        <v>128569.24988105841</v>
      </c>
      <c r="H92" s="116">
        <v>1168027.066624023</v>
      </c>
      <c r="I92" s="113">
        <v>340</v>
      </c>
      <c r="J92" s="117" t="s">
        <v>248</v>
      </c>
      <c r="K92" s="118"/>
      <c r="L92" s="119">
        <v>0</v>
      </c>
      <c r="M92" s="120">
        <v>1150506.6606246626</v>
      </c>
      <c r="N92" s="121">
        <v>-5</v>
      </c>
      <c r="O92" s="122">
        <v>-16674.009574270473</v>
      </c>
      <c r="P92" s="123">
        <v>1133832.6510503921</v>
      </c>
      <c r="Q92" s="124"/>
      <c r="R92" s="135">
        <v>1216784.2699055278</v>
      </c>
      <c r="S92" s="136"/>
      <c r="T92" s="137"/>
      <c r="U92" s="138">
        <v>102869.776</v>
      </c>
      <c r="V92" s="138">
        <v>1113914.4939055278</v>
      </c>
      <c r="W92" s="139">
        <v>19918.157144864323</v>
      </c>
      <c r="X92" s="139">
        <v>1236702.4270503921</v>
      </c>
      <c r="Z92" s="146"/>
      <c r="AA92" s="147"/>
      <c r="AB92" s="146"/>
      <c r="AC92" s="146"/>
      <c r="AD92" s="148">
        <f>VLOOKUP($B92,'Delegation in 13-14'!$B:$N,13,FALSE)</f>
        <v>24824.560451461839</v>
      </c>
      <c r="AE92" s="149"/>
      <c r="AF92" s="5">
        <f t="shared" si="0"/>
        <v>3407.8153279466296</v>
      </c>
      <c r="AG92" s="5">
        <f t="shared" si="1"/>
        <v>3457.5409480448839</v>
      </c>
      <c r="AH92" s="6"/>
      <c r="AI92" s="1"/>
      <c r="AJ92" s="148">
        <f>VLOOKUP($B92,'Delegation in 13-14'!$B:$N,13,FALSE)</f>
        <v>24824.560451461839</v>
      </c>
      <c r="AK92" s="149"/>
      <c r="AL92" s="5">
        <f t="shared" si="2"/>
        <v>3349.2325128146754</v>
      </c>
      <c r="AM92" s="5">
        <f t="shared" si="3"/>
        <v>3399.8071592191905</v>
      </c>
      <c r="AN92" s="1"/>
      <c r="AO92" s="5"/>
      <c r="AP92" s="1"/>
    </row>
    <row r="93" spans="2:42" ht="15.75" x14ac:dyDescent="0.25">
      <c r="B93" s="133">
        <v>3526</v>
      </c>
      <c r="C93" s="134" t="s">
        <v>105</v>
      </c>
      <c r="D93" s="113">
        <v>90</v>
      </c>
      <c r="E93" s="114" t="s">
        <v>5</v>
      </c>
      <c r="F93" s="115">
        <v>534266.86423201603</v>
      </c>
      <c r="G93" s="116">
        <v>183021.0533650188</v>
      </c>
      <c r="H93" s="116">
        <v>351245.81086699723</v>
      </c>
      <c r="I93" s="113">
        <v>90</v>
      </c>
      <c r="J93" s="117" t="s">
        <v>248</v>
      </c>
      <c r="K93" s="118"/>
      <c r="L93" s="119">
        <v>0</v>
      </c>
      <c r="M93" s="120">
        <v>345977.12370399229</v>
      </c>
      <c r="N93" s="121">
        <v>0</v>
      </c>
      <c r="O93" s="122">
        <v>0</v>
      </c>
      <c r="P93" s="123">
        <v>345977.12370399229</v>
      </c>
      <c r="Q93" s="124"/>
      <c r="R93" s="135">
        <v>460761.95747698535</v>
      </c>
      <c r="S93" s="136"/>
      <c r="T93" s="137"/>
      <c r="U93" s="138">
        <v>101063.61424</v>
      </c>
      <c r="V93" s="138">
        <v>359698.34323698538</v>
      </c>
      <c r="W93" s="139">
        <v>0</v>
      </c>
      <c r="X93" s="139">
        <v>460761.95747698535</v>
      </c>
      <c r="Z93" s="146"/>
      <c r="AA93" s="147"/>
      <c r="AB93" s="146"/>
      <c r="AC93" s="146"/>
      <c r="AD93" s="148">
        <f>VLOOKUP($B93,'Delegation in 13-14'!$B:$N,13,FALSE)</f>
        <v>6571.2071783281335</v>
      </c>
      <c r="AE93" s="149"/>
      <c r="AF93" s="5">
        <f t="shared" si="0"/>
        <v>4069.6616712812611</v>
      </c>
      <c r="AG93" s="5">
        <f t="shared" si="1"/>
        <v>3975.7446449480594</v>
      </c>
      <c r="AH93" s="6"/>
      <c r="AI93" s="1"/>
      <c r="AJ93" s="148">
        <f>VLOOKUP($B93,'Delegation in 13-14'!$B:$N,13,FALSE)</f>
        <v>6571.2071783281335</v>
      </c>
      <c r="AK93" s="149"/>
      <c r="AL93" s="5">
        <f t="shared" si="2"/>
        <v>4069.6616712812611</v>
      </c>
      <c r="AM93" s="5">
        <f t="shared" si="3"/>
        <v>3975.7446449480594</v>
      </c>
      <c r="AN93" s="1"/>
      <c r="AO93" s="5"/>
      <c r="AP93" s="1"/>
    </row>
    <row r="94" spans="2:42" ht="15.75" x14ac:dyDescent="0.25">
      <c r="B94" s="133">
        <v>3535</v>
      </c>
      <c r="C94" s="134" t="s">
        <v>106</v>
      </c>
      <c r="D94" s="113">
        <v>255</v>
      </c>
      <c r="E94" s="114" t="s">
        <v>5</v>
      </c>
      <c r="F94" s="115">
        <v>1203256.244619126</v>
      </c>
      <c r="G94" s="116">
        <v>114906.1899520423</v>
      </c>
      <c r="H94" s="116">
        <v>1088350.0546670835</v>
      </c>
      <c r="I94" s="113">
        <v>294</v>
      </c>
      <c r="J94" s="117" t="s">
        <v>248</v>
      </c>
      <c r="K94" s="118"/>
      <c r="L94" s="119">
        <v>0</v>
      </c>
      <c r="M94" s="120">
        <v>1072024.8038470773</v>
      </c>
      <c r="N94" s="121">
        <v>39</v>
      </c>
      <c r="O94" s="122">
        <v>163956.73470602359</v>
      </c>
      <c r="P94" s="123">
        <v>1235981.538553101</v>
      </c>
      <c r="Q94" s="124"/>
      <c r="R94" s="135">
        <v>1238069.8060550354</v>
      </c>
      <c r="S94" s="136"/>
      <c r="T94" s="137"/>
      <c r="U94" s="138">
        <v>102254.82399999999</v>
      </c>
      <c r="V94" s="138">
        <v>1135814.9820550354</v>
      </c>
      <c r="W94" s="139">
        <v>100166.55649806559</v>
      </c>
      <c r="X94" s="139">
        <v>1338236.362553101</v>
      </c>
      <c r="Z94" s="146"/>
      <c r="AA94" s="147"/>
      <c r="AB94" s="146"/>
      <c r="AC94" s="146"/>
      <c r="AD94" s="148">
        <f>VLOOKUP($B94,'Delegation in 13-14'!$B:$N,13,FALSE)</f>
        <v>21465.943449205235</v>
      </c>
      <c r="AE94" s="149"/>
      <c r="AF94" s="5">
        <f t="shared" si="0"/>
        <v>4277.0322517085251</v>
      </c>
      <c r="AG94" s="5">
        <f t="shared" si="1"/>
        <v>4352.2196004560346</v>
      </c>
      <c r="AH94" s="6"/>
      <c r="AI94" s="1"/>
      <c r="AJ94" s="148">
        <f>VLOOKUP($B94,'Delegation in 13-14'!$B:$N,13,FALSE)</f>
        <v>21465.943449205235</v>
      </c>
      <c r="AK94" s="149"/>
      <c r="AL94" s="5">
        <f t="shared" si="2"/>
        <v>3936.3296785858524</v>
      </c>
      <c r="AM94" s="5">
        <f t="shared" si="3"/>
        <v>3959.4095749734242</v>
      </c>
      <c r="AN94" s="1"/>
      <c r="AO94" s="5"/>
      <c r="AP94" s="1"/>
    </row>
    <row r="95" spans="2:42" ht="15.75" x14ac:dyDescent="0.25">
      <c r="B95" s="150">
        <v>2008</v>
      </c>
      <c r="C95" s="151" t="s">
        <v>107</v>
      </c>
      <c r="D95" s="113">
        <v>209</v>
      </c>
      <c r="E95" s="114" t="s">
        <v>5</v>
      </c>
      <c r="F95" s="115">
        <v>866254.07366999378</v>
      </c>
      <c r="G95" s="116">
        <v>124210.34119359154</v>
      </c>
      <c r="H95" s="116">
        <v>742043.73247640231</v>
      </c>
      <c r="I95" s="113">
        <v>218</v>
      </c>
      <c r="J95" s="117" t="s">
        <v>248</v>
      </c>
      <c r="K95" s="118"/>
      <c r="L95" s="119">
        <v>0</v>
      </c>
      <c r="M95" s="120">
        <v>730913.07648925623</v>
      </c>
      <c r="N95" s="121">
        <v>9</v>
      </c>
      <c r="O95" s="122">
        <v>31474.725781834</v>
      </c>
      <c r="P95" s="123">
        <v>762387.80227109022</v>
      </c>
      <c r="Q95" s="124"/>
      <c r="R95" s="135">
        <v>822691.63526312576</v>
      </c>
      <c r="S95" s="136"/>
      <c r="T95" s="137"/>
      <c r="U95" s="138">
        <v>102345.928</v>
      </c>
      <c r="V95" s="138">
        <v>720345.70726312581</v>
      </c>
      <c r="W95" s="139">
        <v>42042.09500796441</v>
      </c>
      <c r="X95" s="139">
        <v>864733.73027109017</v>
      </c>
      <c r="Z95" s="146"/>
      <c r="AA95" s="147"/>
      <c r="AB95" s="146"/>
      <c r="AC95" s="146"/>
      <c r="AD95" s="148">
        <f>VLOOKUP($B95,'Delegation in 13-14'!$B:$N,13,FALSE)</f>
        <v>15916.92405417259</v>
      </c>
      <c r="AE95" s="149"/>
      <c r="AF95" s="5">
        <f t="shared" si="0"/>
        <v>3570.2051666296461</v>
      </c>
      <c r="AG95" s="5">
        <f t="shared" si="1"/>
        <v>3626.6060121080141</v>
      </c>
      <c r="AH95" s="6"/>
      <c r="AI95" s="1"/>
      <c r="AJ95" s="148">
        <f>VLOOKUP($B95,'Delegation in 13-14'!$B:$N,13,FALSE)</f>
        <v>15916.92405417259</v>
      </c>
      <c r="AK95" s="149"/>
      <c r="AL95" s="5">
        <f t="shared" si="2"/>
        <v>3377.3515198041209</v>
      </c>
      <c r="AM95" s="5">
        <f t="shared" si="3"/>
        <v>3425.4476627876102</v>
      </c>
      <c r="AN95" s="1"/>
      <c r="AO95" s="5"/>
      <c r="AP95" s="1"/>
    </row>
    <row r="96" spans="2:42" ht="15.75" x14ac:dyDescent="0.25">
      <c r="B96" s="133">
        <v>3542</v>
      </c>
      <c r="C96" s="134" t="s">
        <v>108</v>
      </c>
      <c r="D96" s="113">
        <v>352</v>
      </c>
      <c r="E96" s="114" t="s">
        <v>5</v>
      </c>
      <c r="F96" s="115">
        <v>1267787.2916653403</v>
      </c>
      <c r="G96" s="116">
        <v>126894.21113003763</v>
      </c>
      <c r="H96" s="116">
        <v>1140893.0805353026</v>
      </c>
      <c r="I96" s="113">
        <v>353</v>
      </c>
      <c r="J96" s="117" t="s">
        <v>248</v>
      </c>
      <c r="K96" s="118"/>
      <c r="L96" s="119">
        <v>0</v>
      </c>
      <c r="M96" s="120">
        <v>1123779.6843272732</v>
      </c>
      <c r="N96" s="121">
        <v>1</v>
      </c>
      <c r="O96" s="122">
        <v>3192.5559213842989</v>
      </c>
      <c r="P96" s="123">
        <v>1126972.2402486575</v>
      </c>
      <c r="Q96" s="124"/>
      <c r="R96" s="135">
        <v>1249817.4348916574</v>
      </c>
      <c r="S96" s="136"/>
      <c r="T96" s="137"/>
      <c r="U96" s="138">
        <v>104190.784</v>
      </c>
      <c r="V96" s="138">
        <v>1145626.6508916575</v>
      </c>
      <c r="W96" s="139">
        <v>0</v>
      </c>
      <c r="X96" s="139">
        <v>1249817.4348916574</v>
      </c>
      <c r="Z96" s="146"/>
      <c r="AA96" s="147"/>
      <c r="AB96" s="146"/>
      <c r="AC96" s="146"/>
      <c r="AD96" s="148">
        <f>VLOOKUP($B96,'Delegation in 13-14'!$B:$N,13,FALSE)</f>
        <v>25773.734821664792</v>
      </c>
      <c r="AE96" s="149"/>
      <c r="AF96" s="5">
        <f t="shared" si="0"/>
        <v>3318.4146904060121</v>
      </c>
      <c r="AG96" s="5">
        <f t="shared" si="1"/>
        <v>3314.3943618095668</v>
      </c>
      <c r="AH96" s="6"/>
      <c r="AI96" s="1"/>
      <c r="AJ96" s="148">
        <f>VLOOKUP($B96,'Delegation in 13-14'!$B:$N,13,FALSE)</f>
        <v>25773.734821664792</v>
      </c>
      <c r="AK96" s="149"/>
      <c r="AL96" s="5">
        <f t="shared" si="2"/>
        <v>3318.4146904060121</v>
      </c>
      <c r="AM96" s="5">
        <f t="shared" si="3"/>
        <v>3314.3943618095668</v>
      </c>
      <c r="AN96" s="1"/>
      <c r="AO96" s="5"/>
      <c r="AP96" s="1"/>
    </row>
    <row r="97" spans="2:42" ht="15.75" x14ac:dyDescent="0.25">
      <c r="B97" s="133">
        <v>3528</v>
      </c>
      <c r="C97" s="134" t="s">
        <v>109</v>
      </c>
      <c r="D97" s="113">
        <v>329</v>
      </c>
      <c r="E97" s="114" t="s">
        <v>5</v>
      </c>
      <c r="F97" s="115">
        <v>1252717.8996742067</v>
      </c>
      <c r="G97" s="116">
        <v>238893.98368922161</v>
      </c>
      <c r="H97" s="116">
        <v>1013823.9159849852</v>
      </c>
      <c r="I97" s="113">
        <v>342</v>
      </c>
      <c r="J97" s="117" t="s">
        <v>248</v>
      </c>
      <c r="K97" s="118"/>
      <c r="L97" s="119">
        <v>0</v>
      </c>
      <c r="M97" s="120">
        <v>998616.5572452104</v>
      </c>
      <c r="N97" s="121">
        <v>13</v>
      </c>
      <c r="O97" s="122">
        <v>39459.012900266673</v>
      </c>
      <c r="P97" s="123">
        <v>1038075.5701454771</v>
      </c>
      <c r="Q97" s="124"/>
      <c r="R97" s="135">
        <v>1192976.6491028059</v>
      </c>
      <c r="S97" s="136"/>
      <c r="T97" s="137"/>
      <c r="U97" s="138">
        <v>107516.08</v>
      </c>
      <c r="V97" s="138">
        <v>1085460.5691028058</v>
      </c>
      <c r="W97" s="139">
        <v>0</v>
      </c>
      <c r="X97" s="139">
        <v>1192976.6491028059</v>
      </c>
      <c r="Z97" s="146"/>
      <c r="AA97" s="147"/>
      <c r="AB97" s="146"/>
      <c r="AC97" s="146"/>
      <c r="AD97" s="148">
        <f>VLOOKUP($B97,'Delegation in 13-14'!$B:$N,13,FALSE)</f>
        <v>24970.587277646908</v>
      </c>
      <c r="AE97" s="149"/>
      <c r="AF97" s="5">
        <f t="shared" ref="AF97:AF116" si="4">SUM($X97-$U97+$AD97)/$I97</f>
        <v>3246.8747262586335</v>
      </c>
      <c r="AG97" s="5">
        <f t="shared" ref="AG97:AG116" si="5">SUM($H97+$AD97)/$D97</f>
        <v>3157.4301011022253</v>
      </c>
      <c r="AH97" s="6"/>
      <c r="AI97" s="1"/>
      <c r="AJ97" s="148">
        <f>VLOOKUP($B97,'Delegation in 13-14'!$B:$N,13,FALSE)</f>
        <v>24970.587277646908</v>
      </c>
      <c r="AK97" s="149"/>
      <c r="AL97" s="5">
        <f t="shared" ref="AL97:AL116" si="6">SUM($X97-$U97+$AD97-W97)/$I97</f>
        <v>3246.8747262586335</v>
      </c>
      <c r="AM97" s="5">
        <f t="shared" ref="AM97:AM116" si="7">SUM($H97+$AD97-W97)/$D97</f>
        <v>3157.4301011022253</v>
      </c>
      <c r="AN97" s="1"/>
      <c r="AO97" s="5"/>
      <c r="AP97" s="1"/>
    </row>
    <row r="98" spans="2:42" ht="15.75" x14ac:dyDescent="0.25">
      <c r="B98" s="133">
        <v>3534</v>
      </c>
      <c r="C98" s="134" t="s">
        <v>110</v>
      </c>
      <c r="D98" s="113">
        <v>233</v>
      </c>
      <c r="E98" s="114" t="s">
        <v>5</v>
      </c>
      <c r="F98" s="115">
        <v>789408.01352018723</v>
      </c>
      <c r="G98" s="116">
        <v>118058.23562857273</v>
      </c>
      <c r="H98" s="116">
        <v>671349.77789161447</v>
      </c>
      <c r="I98" s="113">
        <v>240</v>
      </c>
      <c r="J98" s="117" t="s">
        <v>248</v>
      </c>
      <c r="K98" s="118"/>
      <c r="L98" s="119">
        <v>0</v>
      </c>
      <c r="M98" s="120">
        <v>661279.53122324019</v>
      </c>
      <c r="N98" s="121">
        <v>7</v>
      </c>
      <c r="O98" s="122">
        <v>19866.767032457858</v>
      </c>
      <c r="P98" s="123">
        <v>681146.29825569806</v>
      </c>
      <c r="Q98" s="124"/>
      <c r="R98" s="135">
        <v>788167.96875008754</v>
      </c>
      <c r="S98" s="136"/>
      <c r="T98" s="137"/>
      <c r="U98" s="138">
        <v>102528.136</v>
      </c>
      <c r="V98" s="138">
        <v>685639.8327500876</v>
      </c>
      <c r="W98" s="139">
        <v>0</v>
      </c>
      <c r="X98" s="139">
        <v>788167.96875008754</v>
      </c>
      <c r="Z98" s="146"/>
      <c r="AA98" s="147"/>
      <c r="AB98" s="146"/>
      <c r="AC98" s="146"/>
      <c r="AD98" s="148">
        <f>VLOOKUP($B98,'Delegation in 13-14'!$B:$N,13,FALSE)</f>
        <v>17523.219142208356</v>
      </c>
      <c r="AE98" s="149"/>
      <c r="AF98" s="5">
        <f t="shared" si="4"/>
        <v>2929.8460495512331</v>
      </c>
      <c r="AG98" s="5">
        <f t="shared" si="5"/>
        <v>2956.5364679563213</v>
      </c>
      <c r="AH98" s="6"/>
      <c r="AI98" s="1"/>
      <c r="AJ98" s="148">
        <f>VLOOKUP($B98,'Delegation in 13-14'!$B:$N,13,FALSE)</f>
        <v>17523.219142208356</v>
      </c>
      <c r="AK98" s="149"/>
      <c r="AL98" s="5">
        <f t="shared" si="6"/>
        <v>2929.8460495512331</v>
      </c>
      <c r="AM98" s="5">
        <f t="shared" si="7"/>
        <v>2956.5364679563213</v>
      </c>
      <c r="AN98" s="1"/>
      <c r="AO98" s="5"/>
      <c r="AP98" s="1"/>
    </row>
    <row r="99" spans="2:42" ht="15.75" x14ac:dyDescent="0.25">
      <c r="B99" s="133">
        <v>3532</v>
      </c>
      <c r="C99" s="134" t="s">
        <v>111</v>
      </c>
      <c r="D99" s="113">
        <v>305</v>
      </c>
      <c r="E99" s="114" t="s">
        <v>5</v>
      </c>
      <c r="F99" s="115">
        <v>994654.74365105655</v>
      </c>
      <c r="G99" s="116">
        <v>151999.19623820233</v>
      </c>
      <c r="H99" s="116">
        <v>842655.54741285415</v>
      </c>
      <c r="I99" s="113">
        <v>304</v>
      </c>
      <c r="J99" s="117" t="s">
        <v>248</v>
      </c>
      <c r="K99" s="118"/>
      <c r="L99" s="119">
        <v>0</v>
      </c>
      <c r="M99" s="120">
        <v>830015.71420166129</v>
      </c>
      <c r="N99" s="121">
        <v>-1</v>
      </c>
      <c r="O99" s="122">
        <v>-2721.3629973824959</v>
      </c>
      <c r="P99" s="123">
        <v>827294.35120427876</v>
      </c>
      <c r="Q99" s="124"/>
      <c r="R99" s="135">
        <v>914410.04955630167</v>
      </c>
      <c r="S99" s="136"/>
      <c r="T99" s="137"/>
      <c r="U99" s="138">
        <v>103894.696</v>
      </c>
      <c r="V99" s="138">
        <v>810515.35355630168</v>
      </c>
      <c r="W99" s="139">
        <v>16778.997647977085</v>
      </c>
      <c r="X99" s="139">
        <v>931189.04720427876</v>
      </c>
      <c r="Z99" s="146"/>
      <c r="AA99" s="147"/>
      <c r="AB99" s="146"/>
      <c r="AC99" s="146"/>
      <c r="AD99" s="148">
        <f>VLOOKUP($B99,'Delegation in 13-14'!$B:$N,13,FALSE)</f>
        <v>22196.077580130586</v>
      </c>
      <c r="AE99" s="149"/>
      <c r="AF99" s="5">
        <f t="shared" si="4"/>
        <v>2794.3764104750308</v>
      </c>
      <c r="AG99" s="5">
        <f t="shared" si="5"/>
        <v>2835.5790983376546</v>
      </c>
      <c r="AH99" s="6"/>
      <c r="AI99" s="1"/>
      <c r="AJ99" s="148">
        <f>VLOOKUP($B99,'Delegation in 13-14'!$B:$N,13,FALSE)</f>
        <v>22196.077580130586</v>
      </c>
      <c r="AK99" s="149"/>
      <c r="AL99" s="5">
        <f t="shared" si="6"/>
        <v>2739.1823392645797</v>
      </c>
      <c r="AM99" s="5">
        <f t="shared" si="7"/>
        <v>2780.5659912951069</v>
      </c>
      <c r="AN99" s="1"/>
      <c r="AO99" s="5"/>
      <c r="AP99" s="1"/>
    </row>
    <row r="100" spans="2:42" ht="15.75" x14ac:dyDescent="0.25">
      <c r="B100" s="133">
        <v>3546</v>
      </c>
      <c r="C100" s="134" t="s">
        <v>112</v>
      </c>
      <c r="D100" s="113">
        <v>491</v>
      </c>
      <c r="E100" s="114" t="s">
        <v>5</v>
      </c>
      <c r="F100" s="115">
        <v>2464516.0520030269</v>
      </c>
      <c r="G100" s="116">
        <v>426311.18086418696</v>
      </c>
      <c r="H100" s="116">
        <v>2038204.87113884</v>
      </c>
      <c r="I100" s="113">
        <v>502</v>
      </c>
      <c r="J100" s="117" t="s">
        <v>248</v>
      </c>
      <c r="K100" s="118"/>
      <c r="L100" s="119">
        <v>0</v>
      </c>
      <c r="M100" s="120">
        <v>2007631.7980717574</v>
      </c>
      <c r="N100" s="121">
        <v>11</v>
      </c>
      <c r="O100" s="122">
        <v>44977.494457819412</v>
      </c>
      <c r="P100" s="123">
        <v>2052609.2925295769</v>
      </c>
      <c r="Q100" s="124"/>
      <c r="R100" s="135">
        <v>2103179.7943904214</v>
      </c>
      <c r="S100" s="136"/>
      <c r="T100" s="137"/>
      <c r="U100" s="138">
        <v>115813.82399999999</v>
      </c>
      <c r="V100" s="138">
        <v>1987365.9703904213</v>
      </c>
      <c r="W100" s="139">
        <v>65243.322139155585</v>
      </c>
      <c r="X100" s="139">
        <v>2168423.1165295769</v>
      </c>
      <c r="Z100" s="146"/>
      <c r="AA100" s="147"/>
      <c r="AB100" s="146"/>
      <c r="AC100" s="146"/>
      <c r="AD100" s="148">
        <f>VLOOKUP($B100,'Delegation in 13-14'!$B:$N,13,FALSE)</f>
        <v>36652.73337245248</v>
      </c>
      <c r="AE100" s="149"/>
      <c r="AF100" s="5">
        <f t="shared" si="4"/>
        <v>4161.8765456215724</v>
      </c>
      <c r="AG100" s="5">
        <f t="shared" si="5"/>
        <v>4225.7792352572151</v>
      </c>
      <c r="AH100" s="6"/>
      <c r="AI100" s="1"/>
      <c r="AJ100" s="148">
        <f>VLOOKUP($B100,'Delegation in 13-14'!$B:$N,13,FALSE)</f>
        <v>36652.73337245248</v>
      </c>
      <c r="AK100" s="149"/>
      <c r="AL100" s="5">
        <f t="shared" si="6"/>
        <v>4031.9097684519397</v>
      </c>
      <c r="AM100" s="5">
        <f t="shared" si="7"/>
        <v>4092.9007787619894</v>
      </c>
      <c r="AN100" s="1"/>
      <c r="AO100" s="5"/>
      <c r="AP100" s="1"/>
    </row>
    <row r="101" spans="2:42" ht="15.75" x14ac:dyDescent="0.25">
      <c r="B101" s="133">
        <v>3530</v>
      </c>
      <c r="C101" s="134" t="s">
        <v>113</v>
      </c>
      <c r="D101" s="113">
        <v>293</v>
      </c>
      <c r="E101" s="114" t="s">
        <v>5</v>
      </c>
      <c r="F101" s="115">
        <v>982404.961355209</v>
      </c>
      <c r="G101" s="116">
        <v>218070.42168922161</v>
      </c>
      <c r="H101" s="116">
        <v>764334.53966598737</v>
      </c>
      <c r="I101" s="113">
        <v>303</v>
      </c>
      <c r="J101" s="117" t="s">
        <v>248</v>
      </c>
      <c r="K101" s="118"/>
      <c r="L101" s="119">
        <v>0</v>
      </c>
      <c r="M101" s="120">
        <v>752869.52157099755</v>
      </c>
      <c r="N101" s="121">
        <v>10</v>
      </c>
      <c r="O101" s="122">
        <v>25695.205514368517</v>
      </c>
      <c r="P101" s="123">
        <v>778564.72708536603</v>
      </c>
      <c r="Q101" s="124"/>
      <c r="R101" s="135">
        <v>880561.45067644527</v>
      </c>
      <c r="S101" s="136"/>
      <c r="T101" s="137"/>
      <c r="U101" s="138">
        <v>102482.584</v>
      </c>
      <c r="V101" s="138">
        <v>778078.86667644524</v>
      </c>
      <c r="W101" s="139">
        <v>485.86040892079473</v>
      </c>
      <c r="X101" s="139">
        <v>881047.31108536606</v>
      </c>
      <c r="Z101" s="146"/>
      <c r="AA101" s="147"/>
      <c r="AB101" s="146"/>
      <c r="AC101" s="146"/>
      <c r="AD101" s="148">
        <f>VLOOKUP($B101,'Delegation in 13-14'!$B:$N,13,FALSE)</f>
        <v>22123.06416703805</v>
      </c>
      <c r="AE101" s="149"/>
      <c r="AF101" s="5">
        <f t="shared" si="4"/>
        <v>2642.5339645293866</v>
      </c>
      <c r="AG101" s="5">
        <f t="shared" si="5"/>
        <v>2684.1556444813154</v>
      </c>
      <c r="AH101" s="6"/>
      <c r="AI101" s="1"/>
      <c r="AJ101" s="148">
        <f>VLOOKUP($B101,'Delegation in 13-14'!$B:$N,13,FALSE)</f>
        <v>22123.06416703805</v>
      </c>
      <c r="AK101" s="149"/>
      <c r="AL101" s="5">
        <f t="shared" si="6"/>
        <v>2640.9304648299781</v>
      </c>
      <c r="AM101" s="5">
        <f t="shared" si="7"/>
        <v>2682.4974178297089</v>
      </c>
      <c r="AN101" s="1"/>
      <c r="AO101" s="5"/>
      <c r="AP101" s="1"/>
    </row>
    <row r="102" spans="2:42" ht="15.75" x14ac:dyDescent="0.25">
      <c r="B102" s="133">
        <v>2459</v>
      </c>
      <c r="C102" s="134" t="s">
        <v>114</v>
      </c>
      <c r="D102" s="113">
        <v>385</v>
      </c>
      <c r="E102" s="114" t="s">
        <v>5</v>
      </c>
      <c r="F102" s="115">
        <v>1214984.2173436387</v>
      </c>
      <c r="G102" s="116">
        <v>165263.88446881511</v>
      </c>
      <c r="H102" s="116">
        <v>1049720.3328748236</v>
      </c>
      <c r="I102" s="113">
        <v>382</v>
      </c>
      <c r="J102" s="117" t="s">
        <v>248</v>
      </c>
      <c r="K102" s="118"/>
      <c r="L102" s="119">
        <v>0</v>
      </c>
      <c r="M102" s="120">
        <v>1033974.5278817012</v>
      </c>
      <c r="N102" s="121">
        <v>-3</v>
      </c>
      <c r="O102" s="122">
        <v>-8056.9443731041647</v>
      </c>
      <c r="P102" s="123">
        <v>1025917.5835085971</v>
      </c>
      <c r="Q102" s="124"/>
      <c r="R102" s="135">
        <v>1111464.6631533825</v>
      </c>
      <c r="S102" s="136"/>
      <c r="T102" s="137"/>
      <c r="U102" s="138">
        <v>115004.08</v>
      </c>
      <c r="V102" s="138">
        <v>996460.58315338253</v>
      </c>
      <c r="W102" s="139">
        <v>29457.000355214579</v>
      </c>
      <c r="X102" s="139">
        <v>1140921.6635085971</v>
      </c>
      <c r="Z102" s="146"/>
      <c r="AA102" s="147"/>
      <c r="AB102" s="146"/>
      <c r="AC102" s="146"/>
      <c r="AD102" s="148">
        <f>VLOOKUP($B102,'Delegation in 13-14'!$B:$N,13,FALSE)</f>
        <v>27891.123801348302</v>
      </c>
      <c r="AE102" s="149"/>
      <c r="AF102" s="5">
        <f t="shared" si="4"/>
        <v>2758.6615374605904</v>
      </c>
      <c r="AG102" s="5">
        <f t="shared" si="5"/>
        <v>2798.9907965614852</v>
      </c>
      <c r="AH102" s="6"/>
      <c r="AI102" s="1"/>
      <c r="AJ102" s="148">
        <f>VLOOKUP($B102,'Delegation in 13-14'!$B:$N,13,FALSE)</f>
        <v>27891.123801348302</v>
      </c>
      <c r="AK102" s="149"/>
      <c r="AL102" s="5">
        <f t="shared" si="6"/>
        <v>2681.5489710856832</v>
      </c>
      <c r="AM102" s="5">
        <f t="shared" si="7"/>
        <v>2722.4791073271617</v>
      </c>
      <c r="AN102" s="1"/>
      <c r="AO102" s="5"/>
      <c r="AP102" s="1"/>
    </row>
    <row r="103" spans="2:42" ht="15.75" x14ac:dyDescent="0.25">
      <c r="B103" s="133"/>
      <c r="C103" s="134"/>
      <c r="D103" s="113"/>
      <c r="E103" s="114"/>
      <c r="F103" s="115"/>
      <c r="G103" s="116"/>
      <c r="H103" s="116" t="s">
        <v>244</v>
      </c>
      <c r="I103" s="113"/>
      <c r="J103" s="117" t="s">
        <v>244</v>
      </c>
      <c r="K103" s="118"/>
      <c r="L103" s="119">
        <v>0</v>
      </c>
      <c r="M103" s="120" t="s">
        <v>244</v>
      </c>
      <c r="N103" s="121" t="s">
        <v>244</v>
      </c>
      <c r="O103" s="122" t="s">
        <v>244</v>
      </c>
      <c r="P103" s="123" t="s">
        <v>244</v>
      </c>
      <c r="Q103" s="124"/>
      <c r="R103" s="135"/>
      <c r="S103" s="136"/>
      <c r="T103" s="137"/>
      <c r="U103" s="138" t="s">
        <v>244</v>
      </c>
      <c r="V103" s="138" t="s">
        <v>244</v>
      </c>
      <c r="W103" s="139" t="s">
        <v>244</v>
      </c>
      <c r="X103" s="139" t="s">
        <v>244</v>
      </c>
      <c r="Z103" s="146"/>
      <c r="AA103" s="147"/>
      <c r="AB103" s="146"/>
      <c r="AC103" s="146"/>
      <c r="AD103" s="148"/>
      <c r="AE103" s="149"/>
      <c r="AF103" s="5"/>
      <c r="AG103" s="5"/>
      <c r="AH103" s="6"/>
      <c r="AI103" s="1"/>
      <c r="AJ103" s="148"/>
      <c r="AK103" s="149"/>
      <c r="AL103" s="5"/>
      <c r="AM103" s="5"/>
      <c r="AN103" s="1"/>
      <c r="AO103" s="5"/>
      <c r="AP103" s="1"/>
    </row>
    <row r="104" spans="2:42" ht="15.75" x14ac:dyDescent="0.25">
      <c r="B104" s="133">
        <v>4177</v>
      </c>
      <c r="C104" s="134" t="s">
        <v>115</v>
      </c>
      <c r="D104" s="113">
        <v>599</v>
      </c>
      <c r="E104" s="114" t="s">
        <v>7</v>
      </c>
      <c r="F104" s="115">
        <v>4639588.1218328197</v>
      </c>
      <c r="G104" s="116">
        <v>909956.15670852596</v>
      </c>
      <c r="H104" s="116">
        <v>3729631.9651242937</v>
      </c>
      <c r="I104" s="113">
        <v>566</v>
      </c>
      <c r="J104" s="117" t="s">
        <v>248</v>
      </c>
      <c r="K104" s="118"/>
      <c r="L104" s="119">
        <v>0</v>
      </c>
      <c r="M104" s="120">
        <v>3673687.4856474292</v>
      </c>
      <c r="N104" s="121">
        <v>-33</v>
      </c>
      <c r="O104" s="122">
        <v>-202390.12859159458</v>
      </c>
      <c r="P104" s="123">
        <v>3471297.3570558345</v>
      </c>
      <c r="Q104" s="124"/>
      <c r="R104" s="135">
        <v>3379156.0853825221</v>
      </c>
      <c r="S104" s="136"/>
      <c r="T104" s="137"/>
      <c r="U104" s="138">
        <v>118220.8</v>
      </c>
      <c r="V104" s="138">
        <v>3260935.2853825223</v>
      </c>
      <c r="W104" s="139">
        <v>210362.07167331222</v>
      </c>
      <c r="X104" s="139">
        <v>3589518.1570558343</v>
      </c>
      <c r="Z104" s="146"/>
      <c r="AA104" s="147"/>
      <c r="AB104" s="146"/>
      <c r="AC104" s="146"/>
      <c r="AD104" s="148">
        <f>VLOOKUP($B104,'Delegation in 13-14'!$B:$N,13,FALSE)</f>
        <v>37416.963552666472</v>
      </c>
      <c r="AE104" s="149"/>
      <c r="AF104" s="5">
        <f t="shared" si="4"/>
        <v>6199.1419092022979</v>
      </c>
      <c r="AG104" s="5">
        <f t="shared" si="5"/>
        <v>6288.8963750867442</v>
      </c>
      <c r="AH104" s="6"/>
      <c r="AI104" s="1"/>
      <c r="AJ104" s="148">
        <f>VLOOKUP($B104,'Delegation in 13-14'!$B:$N,13,FALSE)</f>
        <v>37416.963552666472</v>
      </c>
      <c r="AK104" s="149"/>
      <c r="AL104" s="5">
        <f t="shared" si="6"/>
        <v>5827.4774716169413</v>
      </c>
      <c r="AM104" s="5">
        <f t="shared" si="7"/>
        <v>5937.7076076855556</v>
      </c>
      <c r="AN104" s="1"/>
      <c r="AO104" s="5"/>
      <c r="AP104" s="1"/>
    </row>
    <row r="105" spans="2:42" ht="15.75" x14ac:dyDescent="0.25">
      <c r="B105" s="133">
        <v>4608</v>
      </c>
      <c r="C105" s="134" t="s">
        <v>116</v>
      </c>
      <c r="D105" s="113">
        <v>618</v>
      </c>
      <c r="E105" s="114" t="s">
        <v>7</v>
      </c>
      <c r="F105" s="115">
        <v>3703457.7960723066</v>
      </c>
      <c r="G105" s="116">
        <v>186143.29948662547</v>
      </c>
      <c r="H105" s="116">
        <v>3517314.4965856811</v>
      </c>
      <c r="I105" s="113">
        <v>607</v>
      </c>
      <c r="J105" s="117" t="s">
        <v>248</v>
      </c>
      <c r="K105" s="118"/>
      <c r="L105" s="119">
        <v>0</v>
      </c>
      <c r="M105" s="120">
        <v>3464554.7791368957</v>
      </c>
      <c r="N105" s="121">
        <v>-11</v>
      </c>
      <c r="O105" s="122">
        <v>-61666.832638358988</v>
      </c>
      <c r="P105" s="123">
        <v>3402887.9464985365</v>
      </c>
      <c r="Q105" s="124"/>
      <c r="R105" s="135">
        <v>3226699.273313364</v>
      </c>
      <c r="S105" s="136"/>
      <c r="T105" s="137"/>
      <c r="U105" s="138">
        <v>124825.84</v>
      </c>
      <c r="V105" s="138">
        <v>3101873.4333133642</v>
      </c>
      <c r="W105" s="139">
        <v>301014.51318517234</v>
      </c>
      <c r="X105" s="139">
        <v>3527713.7864985364</v>
      </c>
      <c r="Z105" s="146"/>
      <c r="AA105" s="147"/>
      <c r="AB105" s="146"/>
      <c r="AC105" s="146"/>
      <c r="AD105" s="148">
        <f>VLOOKUP($B105,'Delegation in 13-14'!$B:$N,13,FALSE)</f>
        <v>40127.3796404038</v>
      </c>
      <c r="AE105" s="149"/>
      <c r="AF105" s="5">
        <f t="shared" si="4"/>
        <v>5672.1834038532788</v>
      </c>
      <c r="AG105" s="5">
        <f t="shared" si="5"/>
        <v>5756.378440495283</v>
      </c>
      <c r="AH105" s="6"/>
      <c r="AI105" s="1"/>
      <c r="AJ105" s="148">
        <f>VLOOKUP($B105,'Delegation in 13-14'!$B:$N,13,FALSE)</f>
        <v>40127.3796404038</v>
      </c>
      <c r="AK105" s="149"/>
      <c r="AL105" s="5">
        <f t="shared" si="6"/>
        <v>5176.2781103027473</v>
      </c>
      <c r="AM105" s="5">
        <f t="shared" si="7"/>
        <v>5269.2999401956513</v>
      </c>
      <c r="AN105" s="1"/>
      <c r="AO105" s="5"/>
      <c r="AP105" s="1"/>
    </row>
    <row r="106" spans="2:42" ht="15.75" x14ac:dyDescent="0.25">
      <c r="B106" s="133">
        <v>4178</v>
      </c>
      <c r="C106" s="134" t="s">
        <v>117</v>
      </c>
      <c r="D106" s="113">
        <v>1227</v>
      </c>
      <c r="E106" s="114" t="s">
        <v>7</v>
      </c>
      <c r="F106" s="115">
        <v>6752834.0871785507</v>
      </c>
      <c r="G106" s="116">
        <v>661288.87592094834</v>
      </c>
      <c r="H106" s="116">
        <v>6091545.2112576021</v>
      </c>
      <c r="I106" s="113">
        <v>1273</v>
      </c>
      <c r="J106" s="117" t="s">
        <v>248</v>
      </c>
      <c r="K106" s="118"/>
      <c r="L106" s="119">
        <v>0</v>
      </c>
      <c r="M106" s="120">
        <v>6000172.0330887381</v>
      </c>
      <c r="N106" s="121">
        <v>46</v>
      </c>
      <c r="O106" s="122">
        <v>224945.32479387283</v>
      </c>
      <c r="P106" s="123">
        <v>6225117.3578826105</v>
      </c>
      <c r="Q106" s="124"/>
      <c r="R106" s="135">
        <v>6051090.7391559649</v>
      </c>
      <c r="S106" s="136"/>
      <c r="T106" s="137"/>
      <c r="U106" s="138">
        <v>123459.28</v>
      </c>
      <c r="V106" s="138">
        <v>5927631.4591559647</v>
      </c>
      <c r="W106" s="139">
        <v>297485.89872664586</v>
      </c>
      <c r="X106" s="139">
        <v>6348576.6378826108</v>
      </c>
      <c r="Z106" s="146"/>
      <c r="AA106" s="147"/>
      <c r="AB106" s="146"/>
      <c r="AC106" s="146"/>
      <c r="AD106" s="148">
        <f>VLOOKUP($B106,'Delegation in 13-14'!$B:$N,13,FALSE)</f>
        <v>84155.114138771052</v>
      </c>
      <c r="AE106" s="149"/>
      <c r="AF106" s="5">
        <f t="shared" si="4"/>
        <v>4956.2234658455473</v>
      </c>
      <c r="AG106" s="5">
        <f t="shared" si="5"/>
        <v>5033.1705993450469</v>
      </c>
      <c r="AH106" s="6"/>
      <c r="AI106" s="1"/>
      <c r="AJ106" s="148">
        <f>VLOOKUP($B106,'Delegation in 13-14'!$B:$N,13,FALSE)</f>
        <v>84155.114138771052</v>
      </c>
      <c r="AK106" s="149"/>
      <c r="AL106" s="5">
        <f t="shared" si="6"/>
        <v>4722.5346215983782</v>
      </c>
      <c r="AM106" s="5">
        <f t="shared" si="7"/>
        <v>4790.7208041318072</v>
      </c>
      <c r="AN106" s="1"/>
      <c r="AO106" s="5"/>
      <c r="AP106" s="1"/>
    </row>
    <row r="107" spans="2:42" ht="15.75" x14ac:dyDescent="0.25">
      <c r="B107" s="171">
        <v>4181</v>
      </c>
      <c r="C107" s="172" t="s">
        <v>118</v>
      </c>
      <c r="D107" s="113">
        <v>1059</v>
      </c>
      <c r="E107" s="114" t="s">
        <v>7</v>
      </c>
      <c r="F107" s="115">
        <v>5183173.6194475768</v>
      </c>
      <c r="G107" s="116">
        <v>315613.63128227403</v>
      </c>
      <c r="H107" s="116">
        <v>4867559.9881653031</v>
      </c>
      <c r="I107" s="113">
        <v>1075</v>
      </c>
      <c r="J107" s="117" t="s">
        <v>248</v>
      </c>
      <c r="K107" s="118"/>
      <c r="L107" s="119">
        <v>0</v>
      </c>
      <c r="M107" s="120">
        <v>4794546.5883428231</v>
      </c>
      <c r="N107" s="121">
        <v>16</v>
      </c>
      <c r="O107" s="122">
        <v>72438.853081666821</v>
      </c>
      <c r="P107" s="123">
        <v>4866985.44142449</v>
      </c>
      <c r="Q107" s="124"/>
      <c r="R107" s="135">
        <v>4798517.2734162975</v>
      </c>
      <c r="S107" s="136"/>
      <c r="T107" s="137"/>
      <c r="U107" s="138">
        <v>118403.008</v>
      </c>
      <c r="V107" s="138">
        <v>4680114.2654162971</v>
      </c>
      <c r="W107" s="139">
        <v>186871.17600819282</v>
      </c>
      <c r="X107" s="139">
        <v>4985388.4494244903</v>
      </c>
      <c r="Z107" s="146"/>
      <c r="AA107" s="147"/>
      <c r="AB107" s="146"/>
      <c r="AC107" s="146"/>
      <c r="AD107" s="148">
        <f>VLOOKUP($B107,'Delegation in 13-14'!$B:$N,13,FALSE)</f>
        <v>71065.78766628349</v>
      </c>
      <c r="AE107" s="149"/>
      <c r="AF107" s="5">
        <f t="shared" si="4"/>
        <v>4593.5360270611845</v>
      </c>
      <c r="AG107" s="5">
        <f t="shared" si="5"/>
        <v>4663.4804304358704</v>
      </c>
      <c r="AH107" s="6"/>
      <c r="AI107" s="1"/>
      <c r="AJ107" s="148">
        <f>VLOOKUP($B107,'Delegation in 13-14'!$B:$N,13,FALSE)</f>
        <v>71065.78766628349</v>
      </c>
      <c r="AK107" s="149"/>
      <c r="AL107" s="5">
        <f t="shared" si="6"/>
        <v>4419.7023749605405</v>
      </c>
      <c r="AM107" s="5">
        <f t="shared" si="7"/>
        <v>4487.0203964337998</v>
      </c>
      <c r="AN107" s="1"/>
      <c r="AO107" s="5"/>
      <c r="AP107" s="1"/>
    </row>
    <row r="108" spans="2:42" ht="15.75" x14ac:dyDescent="0.25">
      <c r="B108" s="133">
        <v>4182</v>
      </c>
      <c r="C108" s="134" t="s">
        <v>119</v>
      </c>
      <c r="D108" s="113">
        <v>1301</v>
      </c>
      <c r="E108" s="114" t="s">
        <v>7</v>
      </c>
      <c r="F108" s="115">
        <v>6689428.4461256349</v>
      </c>
      <c r="G108" s="116">
        <v>1202813.0567834869</v>
      </c>
      <c r="H108" s="116">
        <v>5486615.3893421479</v>
      </c>
      <c r="I108" s="113">
        <v>1327</v>
      </c>
      <c r="J108" s="117" t="s">
        <v>248</v>
      </c>
      <c r="K108" s="118"/>
      <c r="L108" s="119">
        <v>0</v>
      </c>
      <c r="M108" s="120">
        <v>5404316.1585020153</v>
      </c>
      <c r="N108" s="121">
        <v>26</v>
      </c>
      <c r="O108" s="122">
        <v>108003.24375176971</v>
      </c>
      <c r="P108" s="123">
        <v>5512319.4022537852</v>
      </c>
      <c r="Q108" s="124"/>
      <c r="R108" s="135">
        <v>5516658.3213643124</v>
      </c>
      <c r="S108" s="136"/>
      <c r="T108" s="137"/>
      <c r="U108" s="138">
        <v>196216.64</v>
      </c>
      <c r="V108" s="138">
        <v>5320441.6813643128</v>
      </c>
      <c r="W108" s="139">
        <v>191877.7208894724</v>
      </c>
      <c r="X108" s="139">
        <v>5708536.0422537848</v>
      </c>
      <c r="Z108" s="146"/>
      <c r="AA108" s="147"/>
      <c r="AB108" s="146"/>
      <c r="AC108" s="146"/>
      <c r="AD108" s="148">
        <f>VLOOKUP($B108,'Delegation in 13-14'!$B:$N,13,FALSE)</f>
        <v>87724.930449449486</v>
      </c>
      <c r="AE108" s="149"/>
      <c r="AF108" s="5">
        <f t="shared" si="4"/>
        <v>4220.0786229866126</v>
      </c>
      <c r="AG108" s="5">
        <f t="shared" si="5"/>
        <v>4284.6582012233648</v>
      </c>
      <c r="AH108" s="6"/>
      <c r="AI108" s="1"/>
      <c r="AJ108" s="148">
        <f>VLOOKUP($B108,'Delegation in 13-14'!$B:$N,13,FALSE)</f>
        <v>87724.930449449486</v>
      </c>
      <c r="AK108" s="149"/>
      <c r="AL108" s="5">
        <f t="shared" si="6"/>
        <v>4075.4835055115013</v>
      </c>
      <c r="AM108" s="5">
        <f t="shared" si="7"/>
        <v>4137.1734042291509</v>
      </c>
      <c r="AN108" s="1"/>
      <c r="AO108" s="5"/>
      <c r="AP108" s="1"/>
    </row>
    <row r="109" spans="2:42" ht="15.75" x14ac:dyDescent="0.25">
      <c r="B109" s="221">
        <v>4001</v>
      </c>
      <c r="C109" s="134" t="s">
        <v>120</v>
      </c>
      <c r="D109" s="113">
        <v>888</v>
      </c>
      <c r="E109" s="114" t="s">
        <v>7</v>
      </c>
      <c r="F109" s="115">
        <v>5824604.2913011666</v>
      </c>
      <c r="G109" s="116">
        <v>743137.02839174343</v>
      </c>
      <c r="H109" s="116">
        <v>5081467.2629094236</v>
      </c>
      <c r="I109" s="113">
        <v>827</v>
      </c>
      <c r="J109" s="117" t="s">
        <v>248</v>
      </c>
      <c r="K109" s="118"/>
      <c r="L109" s="119">
        <v>0</v>
      </c>
      <c r="M109" s="120">
        <v>5005245.253965782</v>
      </c>
      <c r="N109" s="121">
        <v>-61</v>
      </c>
      <c r="O109" s="122">
        <v>-343828.78433773952</v>
      </c>
      <c r="P109" s="123">
        <v>4661416.4696280425</v>
      </c>
      <c r="Q109" s="124"/>
      <c r="R109" s="135">
        <v>4938063.5856589833</v>
      </c>
      <c r="S109" s="136"/>
      <c r="T109" s="137"/>
      <c r="U109" s="138">
        <v>152840.31999999998</v>
      </c>
      <c r="V109" s="138">
        <v>4785223.265658983</v>
      </c>
      <c r="W109" s="139">
        <v>0</v>
      </c>
      <c r="X109" s="139">
        <v>4938063.5856589833</v>
      </c>
      <c r="Z109" s="146"/>
      <c r="AA109" s="147"/>
      <c r="AB109" s="146"/>
      <c r="AC109" s="146"/>
      <c r="AD109" s="148">
        <f>VLOOKUP($B109,'Delegation in 13-14'!$B:$N,13,FALSE)</f>
        <v>54671.075720945533</v>
      </c>
      <c r="AE109" s="149"/>
      <c r="AF109" s="5">
        <f t="shared" si="4"/>
        <v>5852.3510778475556</v>
      </c>
      <c r="AG109" s="5">
        <f t="shared" si="5"/>
        <v>5783.9395705296947</v>
      </c>
      <c r="AH109" s="6"/>
      <c r="AI109" s="1"/>
      <c r="AJ109" s="148">
        <f>VLOOKUP($B109,'Delegation in 13-14'!$B:$N,13,FALSE)</f>
        <v>54671.075720945533</v>
      </c>
      <c r="AK109" s="149"/>
      <c r="AL109" s="5">
        <f t="shared" si="6"/>
        <v>5852.3510778475556</v>
      </c>
      <c r="AM109" s="5">
        <f t="shared" si="7"/>
        <v>5783.9395705296947</v>
      </c>
      <c r="AN109" s="1"/>
      <c r="AO109" s="5"/>
      <c r="AP109" s="1"/>
    </row>
    <row r="110" spans="2:42" ht="15.75" x14ac:dyDescent="0.25">
      <c r="B110" s="133">
        <v>5406</v>
      </c>
      <c r="C110" s="134" t="s">
        <v>121</v>
      </c>
      <c r="D110" s="113">
        <v>938</v>
      </c>
      <c r="E110" s="114" t="s">
        <v>7</v>
      </c>
      <c r="F110" s="115">
        <v>4507305.5830825008</v>
      </c>
      <c r="G110" s="116">
        <v>123358</v>
      </c>
      <c r="H110" s="116">
        <v>4383947.5830825008</v>
      </c>
      <c r="I110" s="113">
        <v>909</v>
      </c>
      <c r="J110" s="117" t="s">
        <v>248</v>
      </c>
      <c r="K110" s="118"/>
      <c r="L110" s="119">
        <v>0</v>
      </c>
      <c r="M110" s="120">
        <v>4318188.3693362633</v>
      </c>
      <c r="N110" s="121">
        <v>-29</v>
      </c>
      <c r="O110" s="122">
        <v>-133504.75768736846</v>
      </c>
      <c r="P110" s="123">
        <v>4184683.6116488948</v>
      </c>
      <c r="Q110" s="124"/>
      <c r="R110" s="135">
        <v>4262389.4366960982</v>
      </c>
      <c r="S110" s="136"/>
      <c r="T110" s="137"/>
      <c r="U110" s="138">
        <v>123231.51999999999</v>
      </c>
      <c r="V110" s="138">
        <v>4139157.9166960982</v>
      </c>
      <c r="W110" s="139">
        <v>45525.694952796679</v>
      </c>
      <c r="X110" s="139">
        <v>4307915.1316488944</v>
      </c>
      <c r="Z110" s="146"/>
      <c r="AA110" s="147"/>
      <c r="AB110" s="146"/>
      <c r="AC110" s="146"/>
      <c r="AD110" s="148">
        <f>VLOOKUP($B110,'Delegation in 13-14'!$B:$N,13,FALSE)</f>
        <v>60091.907896420176</v>
      </c>
      <c r="AE110" s="149"/>
      <c r="AF110" s="5">
        <f t="shared" si="4"/>
        <v>4669.7200435041968</v>
      </c>
      <c r="AG110" s="5">
        <f t="shared" si="5"/>
        <v>4737.7819733250753</v>
      </c>
      <c r="AH110" s="6"/>
      <c r="AI110" s="1"/>
      <c r="AJ110" s="148">
        <f>VLOOKUP($B110,'Delegation in 13-14'!$B:$N,13,FALSE)</f>
        <v>60091.907896420176</v>
      </c>
      <c r="AK110" s="149"/>
      <c r="AL110" s="5">
        <f t="shared" si="6"/>
        <v>4619.6367707288427</v>
      </c>
      <c r="AM110" s="5">
        <f t="shared" si="7"/>
        <v>4689.2471172986398</v>
      </c>
      <c r="AN110" s="1"/>
      <c r="AO110" s="5"/>
      <c r="AP110" s="1"/>
    </row>
    <row r="111" spans="2:42" ht="15.75" x14ac:dyDescent="0.25">
      <c r="B111" s="133">
        <v>5407</v>
      </c>
      <c r="C111" s="134" t="s">
        <v>122</v>
      </c>
      <c r="D111" s="113">
        <v>1001</v>
      </c>
      <c r="E111" s="114" t="s">
        <v>7</v>
      </c>
      <c r="F111" s="115">
        <v>5927560.5147727178</v>
      </c>
      <c r="G111" s="116">
        <v>909852</v>
      </c>
      <c r="H111" s="116">
        <v>5017708.5147727178</v>
      </c>
      <c r="I111" s="113">
        <v>985</v>
      </c>
      <c r="J111" s="117" t="s">
        <v>248</v>
      </c>
      <c r="K111" s="118"/>
      <c r="L111" s="119">
        <v>0</v>
      </c>
      <c r="M111" s="120">
        <v>4942442.8870511269</v>
      </c>
      <c r="N111" s="121">
        <v>-16</v>
      </c>
      <c r="O111" s="122">
        <v>-79000.086106711315</v>
      </c>
      <c r="P111" s="123">
        <v>4863442.8009444159</v>
      </c>
      <c r="Q111" s="124"/>
      <c r="R111" s="135">
        <v>5228716.9490257446</v>
      </c>
      <c r="S111" s="136"/>
      <c r="T111" s="137"/>
      <c r="U111" s="138">
        <v>125281.36</v>
      </c>
      <c r="V111" s="138">
        <v>5103435.5890257442</v>
      </c>
      <c r="W111" s="139">
        <v>0</v>
      </c>
      <c r="X111" s="139">
        <v>5228716.9490257446</v>
      </c>
      <c r="Z111" s="146"/>
      <c r="AA111" s="147"/>
      <c r="AB111" s="146"/>
      <c r="AC111" s="146"/>
      <c r="AD111" s="148">
        <f>VLOOKUP($B111,'Delegation in 13-14'!$B:$N,13,FALSE)</f>
        <v>65116.093815152781</v>
      </c>
      <c r="AE111" s="149"/>
      <c r="AF111" s="5">
        <f t="shared" si="4"/>
        <v>5247.2605917166466</v>
      </c>
      <c r="AG111" s="5">
        <f t="shared" si="5"/>
        <v>5077.7468617261438</v>
      </c>
      <c r="AH111" s="6"/>
      <c r="AI111" s="1"/>
      <c r="AJ111" s="148">
        <f>VLOOKUP($B111,'Delegation in 13-14'!$B:$N,13,FALSE)</f>
        <v>65116.093815152781</v>
      </c>
      <c r="AK111" s="149"/>
      <c r="AL111" s="5">
        <f t="shared" si="6"/>
        <v>5247.2605917166466</v>
      </c>
      <c r="AM111" s="5">
        <f t="shared" si="7"/>
        <v>5077.7468617261438</v>
      </c>
      <c r="AN111" s="1"/>
      <c r="AO111" s="5"/>
      <c r="AP111" s="1"/>
    </row>
    <row r="112" spans="2:42" ht="15.75" x14ac:dyDescent="0.25">
      <c r="B112" s="171">
        <v>4607</v>
      </c>
      <c r="C112" s="172" t="s">
        <v>123</v>
      </c>
      <c r="D112" s="113">
        <v>1200</v>
      </c>
      <c r="E112" s="114" t="s">
        <v>7</v>
      </c>
      <c r="F112" s="115">
        <v>7801168.5623418642</v>
      </c>
      <c r="G112" s="116">
        <v>2171592.645979939</v>
      </c>
      <c r="H112" s="116">
        <v>5629575.9163619252</v>
      </c>
      <c r="I112" s="113">
        <v>1173</v>
      </c>
      <c r="J112" s="117" t="s">
        <v>248</v>
      </c>
      <c r="K112" s="118"/>
      <c r="L112" s="119">
        <v>0</v>
      </c>
      <c r="M112" s="120">
        <v>5545132.2776164962</v>
      </c>
      <c r="N112" s="121">
        <v>-27</v>
      </c>
      <c r="O112" s="122">
        <v>-124765.47624637115</v>
      </c>
      <c r="P112" s="123">
        <v>5420366.8013701253</v>
      </c>
      <c r="Q112" s="124"/>
      <c r="R112" s="135">
        <v>5514933.8083253345</v>
      </c>
      <c r="S112" s="136"/>
      <c r="T112" s="137"/>
      <c r="U112" s="138">
        <v>126875.68</v>
      </c>
      <c r="V112" s="138">
        <v>5388058.1283253348</v>
      </c>
      <c r="W112" s="139">
        <v>32308.673044790514</v>
      </c>
      <c r="X112" s="139">
        <v>5547242.481370125</v>
      </c>
      <c r="Z112" s="146"/>
      <c r="AA112" s="147"/>
      <c r="AB112" s="146"/>
      <c r="AC112" s="146"/>
      <c r="AD112" s="148">
        <f>VLOOKUP($B112,'Delegation in 13-14'!$B:$N,13,FALSE)</f>
        <v>77544.343193070265</v>
      </c>
      <c r="AE112" s="149"/>
      <c r="AF112" s="5">
        <f t="shared" si="4"/>
        <v>4687.0512741374214</v>
      </c>
      <c r="AG112" s="5">
        <f t="shared" si="5"/>
        <v>4755.9335496291624</v>
      </c>
      <c r="AH112" s="6"/>
      <c r="AI112" s="1"/>
      <c r="AJ112" s="148">
        <f>VLOOKUP($B112,'Delegation in 13-14'!$B:$N,13,FALSE)</f>
        <v>77544.343193070265</v>
      </c>
      <c r="AK112" s="149"/>
      <c r="AL112" s="5">
        <f t="shared" si="6"/>
        <v>4659.5076483532866</v>
      </c>
      <c r="AM112" s="5">
        <f t="shared" si="7"/>
        <v>4729.0096554251704</v>
      </c>
      <c r="AN112" s="1"/>
      <c r="AO112" s="5"/>
      <c r="AP112" s="1"/>
    </row>
    <row r="113" spans="2:42" ht="15.75" x14ac:dyDescent="0.25">
      <c r="B113" s="221">
        <v>4002</v>
      </c>
      <c r="C113" s="134" t="s">
        <v>124</v>
      </c>
      <c r="D113" s="113">
        <v>886</v>
      </c>
      <c r="E113" s="114" t="s">
        <v>7</v>
      </c>
      <c r="F113" s="115">
        <v>4833923.8754071025</v>
      </c>
      <c r="G113" s="116">
        <v>126629.49241432955</v>
      </c>
      <c r="H113" s="116">
        <v>4707294.3829927733</v>
      </c>
      <c r="I113" s="113">
        <v>840</v>
      </c>
      <c r="J113" s="117" t="s">
        <v>248</v>
      </c>
      <c r="K113" s="118"/>
      <c r="L113" s="119">
        <v>0</v>
      </c>
      <c r="M113" s="120">
        <v>4636684.9672478819</v>
      </c>
      <c r="N113" s="121">
        <v>-46</v>
      </c>
      <c r="O113" s="122">
        <v>-240730.82222731665</v>
      </c>
      <c r="P113" s="123">
        <v>4395954.145020565</v>
      </c>
      <c r="Q113" s="124"/>
      <c r="R113" s="135">
        <v>4466559.1656157672</v>
      </c>
      <c r="S113" s="136"/>
      <c r="T113" s="137"/>
      <c r="U113" s="138">
        <v>117309.75999999999</v>
      </c>
      <c r="V113" s="138">
        <v>4349249.4056157675</v>
      </c>
      <c r="W113" s="139">
        <v>46704.739404797554</v>
      </c>
      <c r="X113" s="139">
        <v>4513263.9050205648</v>
      </c>
      <c r="Z113" s="146"/>
      <c r="AA113" s="147"/>
      <c r="AB113" s="146"/>
      <c r="AC113" s="146"/>
      <c r="AD113" s="148">
        <f>VLOOKUP($B113,'Delegation in 13-14'!$B:$N,13,FALSE)</f>
        <v>55530.475943886631</v>
      </c>
      <c r="AE113" s="149"/>
      <c r="AF113" s="5">
        <f t="shared" si="4"/>
        <v>5299.3864535291095</v>
      </c>
      <c r="AG113" s="5">
        <f t="shared" si="5"/>
        <v>5375.6488249849435</v>
      </c>
      <c r="AH113" s="6"/>
      <c r="AI113" s="1"/>
      <c r="AJ113" s="148">
        <f>VLOOKUP($B113,'Delegation in 13-14'!$B:$N,13,FALSE)</f>
        <v>55530.475943886631</v>
      </c>
      <c r="AK113" s="149"/>
      <c r="AL113" s="5">
        <f t="shared" si="6"/>
        <v>5243.7855732853022</v>
      </c>
      <c r="AM113" s="5">
        <f t="shared" si="7"/>
        <v>5322.9346721578586</v>
      </c>
      <c r="AN113" s="1"/>
      <c r="AO113" s="5"/>
      <c r="AP113" s="1"/>
    </row>
    <row r="114" spans="2:42" ht="15.75" x14ac:dyDescent="0.25">
      <c r="B114" s="171">
        <v>5414</v>
      </c>
      <c r="C114" s="172" t="s">
        <v>125</v>
      </c>
      <c r="D114" s="113">
        <v>1016</v>
      </c>
      <c r="E114" s="114" t="s">
        <v>7</v>
      </c>
      <c r="F114" s="115">
        <v>4744985.4150016261</v>
      </c>
      <c r="G114" s="116">
        <v>387559.95865971228</v>
      </c>
      <c r="H114" s="116">
        <v>4357425.4563419139</v>
      </c>
      <c r="I114" s="113">
        <v>1027</v>
      </c>
      <c r="J114" s="117" t="s">
        <v>248</v>
      </c>
      <c r="K114" s="118"/>
      <c r="L114" s="119">
        <v>0</v>
      </c>
      <c r="M114" s="120">
        <v>4292064.0744967852</v>
      </c>
      <c r="N114" s="121">
        <v>11</v>
      </c>
      <c r="O114" s="122">
        <v>46469.19765695338</v>
      </c>
      <c r="P114" s="123">
        <v>4338533.2721537389</v>
      </c>
      <c r="Q114" s="124"/>
      <c r="R114" s="135">
        <v>4275432.4287820878</v>
      </c>
      <c r="S114" s="136"/>
      <c r="T114" s="137"/>
      <c r="U114" s="138">
        <v>122502.68799999999</v>
      </c>
      <c r="V114" s="138">
        <v>4152929.7407820877</v>
      </c>
      <c r="W114" s="139">
        <v>185603.53137165122</v>
      </c>
      <c r="X114" s="139">
        <v>4461035.960153739</v>
      </c>
      <c r="Z114" s="146"/>
      <c r="AA114" s="147"/>
      <c r="AB114" s="146"/>
      <c r="AC114" s="146"/>
      <c r="AD114" s="148">
        <f>VLOOKUP($B114,'Delegation in 13-14'!$B:$N,13,FALSE)</f>
        <v>67892.617612347109</v>
      </c>
      <c r="AE114" s="149"/>
      <c r="AF114" s="5">
        <f t="shared" si="4"/>
        <v>4290.5802237254975</v>
      </c>
      <c r="AG114" s="5">
        <f t="shared" si="5"/>
        <v>4355.6280255455322</v>
      </c>
      <c r="AH114" s="6"/>
      <c r="AI114" s="1"/>
      <c r="AJ114" s="148">
        <f>VLOOKUP($B114,'Delegation in 13-14'!$B:$N,13,FALSE)</f>
        <v>67892.617612347109</v>
      </c>
      <c r="AK114" s="149"/>
      <c r="AL114" s="5">
        <f t="shared" si="6"/>
        <v>4109.856239916684</v>
      </c>
      <c r="AM114" s="5">
        <f t="shared" si="7"/>
        <v>4172.9473844317026</v>
      </c>
      <c r="AN114" s="1"/>
      <c r="AO114" s="5"/>
      <c r="AP114" s="1"/>
    </row>
    <row r="115" spans="2:42" ht="15.75" x14ac:dyDescent="0.25">
      <c r="B115" s="171">
        <v>5412</v>
      </c>
      <c r="C115" s="172" t="s">
        <v>126</v>
      </c>
      <c r="D115" s="113">
        <v>1281</v>
      </c>
      <c r="E115" s="114" t="s">
        <v>7</v>
      </c>
      <c r="F115" s="115">
        <v>5649085.7699090522</v>
      </c>
      <c r="G115" s="116">
        <v>128372.04620716476</v>
      </c>
      <c r="H115" s="116">
        <v>5520713.7237018878</v>
      </c>
      <c r="I115" s="113">
        <v>1289</v>
      </c>
      <c r="J115" s="117" t="s">
        <v>248</v>
      </c>
      <c r="K115" s="118"/>
      <c r="L115" s="119">
        <v>0</v>
      </c>
      <c r="M115" s="120">
        <v>5437903.0178463589</v>
      </c>
      <c r="N115" s="121">
        <v>8</v>
      </c>
      <c r="O115" s="122">
        <v>33960.362328470626</v>
      </c>
      <c r="P115" s="123">
        <v>5471863.3801748296</v>
      </c>
      <c r="Q115" s="124"/>
      <c r="R115" s="135">
        <v>5440377.8118967125</v>
      </c>
      <c r="S115" s="136"/>
      <c r="T115" s="137"/>
      <c r="U115" s="138">
        <v>119405.152</v>
      </c>
      <c r="V115" s="138">
        <v>5320972.6598967128</v>
      </c>
      <c r="W115" s="139">
        <v>150890.72027811687</v>
      </c>
      <c r="X115" s="139">
        <v>5591268.5321748294</v>
      </c>
      <c r="Z115" s="146"/>
      <c r="AA115" s="147"/>
      <c r="AB115" s="146"/>
      <c r="AC115" s="146"/>
      <c r="AD115" s="148">
        <f>VLOOKUP($B115,'Delegation in 13-14'!$B:$N,13,FALSE)</f>
        <v>85212.837490083184</v>
      </c>
      <c r="AE115" s="149"/>
      <c r="AF115" s="5">
        <f t="shared" si="4"/>
        <v>4311.1530005158356</v>
      </c>
      <c r="AG115" s="5">
        <f t="shared" si="5"/>
        <v>4376.2112109226937</v>
      </c>
      <c r="AH115" s="6"/>
      <c r="AI115" s="1"/>
      <c r="AJ115" s="148">
        <f>VLOOKUP($B115,'Delegation in 13-14'!$B:$N,13,FALSE)</f>
        <v>85212.837490083184</v>
      </c>
      <c r="AK115" s="149"/>
      <c r="AL115" s="5">
        <f t="shared" si="6"/>
        <v>4194.092705497902</v>
      </c>
      <c r="AM115" s="5">
        <f t="shared" si="7"/>
        <v>4258.419860198168</v>
      </c>
      <c r="AN115" s="1"/>
      <c r="AO115" s="5"/>
      <c r="AP115" s="1"/>
    </row>
    <row r="116" spans="2:42" ht="15.75" x14ac:dyDescent="0.25">
      <c r="B116" s="171">
        <v>5402</v>
      </c>
      <c r="C116" s="172" t="s">
        <v>127</v>
      </c>
      <c r="D116" s="113">
        <v>1347</v>
      </c>
      <c r="E116" s="114" t="s">
        <v>7</v>
      </c>
      <c r="F116" s="115">
        <v>5724523.0207532104</v>
      </c>
      <c r="G116" s="116">
        <v>174074.76891672786</v>
      </c>
      <c r="H116" s="116">
        <v>5550448.2518364824</v>
      </c>
      <c r="I116" s="113">
        <v>1352</v>
      </c>
      <c r="J116" s="117" t="s">
        <v>248</v>
      </c>
      <c r="K116" s="118"/>
      <c r="L116" s="119">
        <v>0</v>
      </c>
      <c r="M116" s="120">
        <v>5467191.528058935</v>
      </c>
      <c r="N116" s="121">
        <v>5</v>
      </c>
      <c r="O116" s="122">
        <v>20293.95518952834</v>
      </c>
      <c r="P116" s="123">
        <v>5487485.4832484629</v>
      </c>
      <c r="Q116" s="124"/>
      <c r="R116" s="135">
        <v>5515946.3704818664</v>
      </c>
      <c r="S116" s="136"/>
      <c r="T116" s="137"/>
      <c r="U116" s="138">
        <v>134847.28</v>
      </c>
      <c r="V116" s="138">
        <v>5381099.0904818662</v>
      </c>
      <c r="W116" s="139">
        <v>106386.39276659675</v>
      </c>
      <c r="X116" s="139">
        <v>5622332.7632484632</v>
      </c>
      <c r="Z116" s="146"/>
      <c r="AA116" s="147"/>
      <c r="AB116" s="146"/>
      <c r="AC116" s="146"/>
      <c r="AD116" s="148">
        <f>VLOOKUP($B116,'Delegation in 13-14'!$B:$N,13,FALSE)</f>
        <v>89377.623185874676</v>
      </c>
      <c r="AE116" s="149"/>
      <c r="AF116" s="5">
        <f t="shared" si="4"/>
        <v>4124.8987473626757</v>
      </c>
      <c r="AG116" s="5">
        <f t="shared" si="5"/>
        <v>4186.9531366164492</v>
      </c>
      <c r="AH116" s="6"/>
      <c r="AI116" s="1"/>
      <c r="AJ116" s="148">
        <f>VLOOKUP($B116,'Delegation in 13-14'!$B:$N,13,FALSE)</f>
        <v>89377.623185874676</v>
      </c>
      <c r="AK116" s="149"/>
      <c r="AL116" s="5">
        <f t="shared" si="6"/>
        <v>4046.210587032353</v>
      </c>
      <c r="AM116" s="5">
        <f t="shared" si="7"/>
        <v>4107.9728895736898</v>
      </c>
      <c r="AN116" s="1"/>
      <c r="AO116" s="5"/>
      <c r="AP116" s="1"/>
    </row>
    <row r="117" spans="2:42" ht="15.75" x14ac:dyDescent="0.25">
      <c r="B117" s="133"/>
      <c r="C117" s="134"/>
      <c r="D117" s="113"/>
      <c r="E117" s="114"/>
      <c r="F117" s="173"/>
      <c r="G117" s="116" t="s">
        <v>244</v>
      </c>
      <c r="H117" s="116" t="s">
        <v>244</v>
      </c>
      <c r="I117" s="113"/>
      <c r="J117" s="117" t="s">
        <v>244</v>
      </c>
      <c r="K117" s="118"/>
      <c r="L117" s="119">
        <v>0</v>
      </c>
      <c r="M117" s="120" t="s">
        <v>244</v>
      </c>
      <c r="N117" s="121" t="s">
        <v>244</v>
      </c>
      <c r="O117" s="122" t="s">
        <v>244</v>
      </c>
      <c r="P117" s="123" t="s">
        <v>244</v>
      </c>
      <c r="Q117" s="124"/>
      <c r="R117" s="135"/>
      <c r="S117" s="136"/>
      <c r="T117" s="137"/>
      <c r="U117" s="138" t="s">
        <v>244</v>
      </c>
      <c r="V117" s="138" t="s">
        <v>244</v>
      </c>
      <c r="W117" s="139" t="s">
        <v>244</v>
      </c>
      <c r="X117" s="139" t="s">
        <v>244</v>
      </c>
      <c r="AD117" s="53"/>
      <c r="AE117" s="53"/>
      <c r="AF117" s="5"/>
      <c r="AG117" s="5"/>
      <c r="AH117" s="1"/>
      <c r="AI117" s="1"/>
      <c r="AJ117" s="8"/>
      <c r="AK117" s="5"/>
      <c r="AL117" s="1"/>
      <c r="AM117" s="1"/>
      <c r="AN117" s="1"/>
      <c r="AO117" s="8"/>
      <c r="AP117" s="1"/>
    </row>
    <row r="118" spans="2:42" s="141" customFormat="1" ht="15.75" x14ac:dyDescent="0.25">
      <c r="B118" s="137"/>
      <c r="C118" s="174"/>
      <c r="D118" s="175">
        <v>33122</v>
      </c>
      <c r="E118" s="175">
        <v>0</v>
      </c>
      <c r="F118" s="175">
        <v>160626460.00547317</v>
      </c>
      <c r="G118" s="175">
        <v>28786073.990895633</v>
      </c>
      <c r="H118" s="175">
        <v>131840386.01457752</v>
      </c>
      <c r="I118" s="175">
        <v>33750</v>
      </c>
      <c r="J118" s="175">
        <v>0</v>
      </c>
      <c r="K118" s="175">
        <v>7.8967282933336156</v>
      </c>
      <c r="L118" s="175"/>
      <c r="M118" s="175">
        <v>129862780.22435887</v>
      </c>
      <c r="N118" s="175">
        <v>628</v>
      </c>
      <c r="O118" s="175">
        <v>2029755.2082636915</v>
      </c>
      <c r="P118" s="175">
        <v>131892535.43262252</v>
      </c>
      <c r="Q118" s="175">
        <v>0</v>
      </c>
      <c r="R118" s="175">
        <v>138477618.86289665</v>
      </c>
      <c r="S118" s="175">
        <v>0</v>
      </c>
      <c r="T118" s="175">
        <v>0</v>
      </c>
      <c r="U118" s="175">
        <v>9850572.7718857136</v>
      </c>
      <c r="V118" s="175">
        <v>128627046.09101093</v>
      </c>
      <c r="W118" s="175">
        <v>4010442.8106298302</v>
      </c>
      <c r="X118" s="175">
        <v>142488061.6735265</v>
      </c>
      <c r="Y118" s="176"/>
      <c r="AD118" s="177"/>
      <c r="AE118" s="178"/>
      <c r="AF118" s="5"/>
      <c r="AG118" s="5"/>
      <c r="AH118" s="5"/>
      <c r="AI118" s="5"/>
      <c r="AJ118" s="5"/>
      <c r="AK118" s="5"/>
      <c r="AL118" s="5"/>
      <c r="AM118" s="5"/>
      <c r="AN118" s="5"/>
      <c r="AO118" s="5"/>
      <c r="AP118" s="4"/>
    </row>
    <row r="119" spans="2:42" ht="15.75" x14ac:dyDescent="0.25">
      <c r="B119" s="133"/>
      <c r="C119" s="134" t="s">
        <v>128</v>
      </c>
      <c r="D119" s="113"/>
      <c r="E119" s="114" t="s">
        <v>7</v>
      </c>
      <c r="F119" s="173">
        <v>78779</v>
      </c>
      <c r="G119" s="116">
        <v>78779</v>
      </c>
      <c r="H119" s="116">
        <v>0</v>
      </c>
      <c r="I119" s="116">
        <v>0</v>
      </c>
      <c r="J119" s="116">
        <v>0</v>
      </c>
      <c r="K119" s="116">
        <v>0</v>
      </c>
      <c r="L119" s="116"/>
      <c r="M119" s="120">
        <v>0</v>
      </c>
      <c r="N119" s="121">
        <v>0</v>
      </c>
      <c r="O119" s="122">
        <v>0</v>
      </c>
      <c r="P119" s="123">
        <v>0</v>
      </c>
      <c r="Q119" s="116"/>
      <c r="R119" s="116">
        <v>78779</v>
      </c>
      <c r="S119" s="116">
        <v>0</v>
      </c>
      <c r="T119" s="116">
        <v>0</v>
      </c>
      <c r="U119" s="138">
        <v>78779</v>
      </c>
      <c r="V119" s="138">
        <v>0</v>
      </c>
      <c r="W119" s="116">
        <v>0</v>
      </c>
      <c r="X119" s="139">
        <v>78779</v>
      </c>
      <c r="AF119" s="5"/>
      <c r="AG119" s="5"/>
      <c r="AH119" s="1"/>
      <c r="AI119" s="1"/>
      <c r="AJ119" s="5"/>
      <c r="AK119" s="5"/>
      <c r="AL119" s="1"/>
      <c r="AM119" s="1"/>
      <c r="AN119" s="1"/>
      <c r="AO119" s="5"/>
      <c r="AP119" s="2"/>
    </row>
    <row r="120" spans="2:42" ht="15.75" x14ac:dyDescent="0.25">
      <c r="B120" s="133"/>
      <c r="C120" s="134" t="s">
        <v>130</v>
      </c>
      <c r="D120" s="113"/>
      <c r="E120" s="114"/>
      <c r="F120" s="173">
        <v>160705239.00547317</v>
      </c>
      <c r="G120" s="173">
        <v>28864852.990895633</v>
      </c>
      <c r="H120" s="173">
        <v>131840386.01457752</v>
      </c>
      <c r="I120" s="173">
        <v>33750</v>
      </c>
      <c r="J120" s="173">
        <v>0</v>
      </c>
      <c r="K120" s="173">
        <v>7.8967282933336156</v>
      </c>
      <c r="L120" s="173"/>
      <c r="M120" s="173">
        <v>129862780.22435887</v>
      </c>
      <c r="N120" s="173">
        <v>628</v>
      </c>
      <c r="O120" s="173">
        <v>2029755.2082636915</v>
      </c>
      <c r="P120" s="173">
        <v>131892535.43262252</v>
      </c>
      <c r="Q120" s="173">
        <v>0</v>
      </c>
      <c r="R120" s="173">
        <v>138556397.86289665</v>
      </c>
      <c r="S120" s="173">
        <v>0</v>
      </c>
      <c r="T120" s="173">
        <v>0</v>
      </c>
      <c r="U120" s="173">
        <v>9929351.7718857136</v>
      </c>
      <c r="V120" s="173">
        <v>128627046.09101093</v>
      </c>
      <c r="W120" s="173">
        <v>4010442.8106298302</v>
      </c>
      <c r="X120" s="173">
        <v>142566840.6735265</v>
      </c>
      <c r="AB120" s="179"/>
      <c r="AC120" s="180"/>
    </row>
    <row r="121" spans="2:42" ht="15.75" x14ac:dyDescent="0.25">
      <c r="B121" s="133"/>
      <c r="C121" s="134" t="s">
        <v>131</v>
      </c>
      <c r="D121" s="113">
        <v>33122</v>
      </c>
      <c r="E121" s="113"/>
      <c r="F121" s="113">
        <v>157567670.70741102</v>
      </c>
      <c r="G121" s="113">
        <v>25727284.692833483</v>
      </c>
      <c r="H121" s="113">
        <v>131840386.01457752</v>
      </c>
      <c r="I121" s="113">
        <v>33750</v>
      </c>
      <c r="J121" s="113">
        <v>0</v>
      </c>
      <c r="K121" s="113">
        <v>0</v>
      </c>
      <c r="L121" s="113"/>
      <c r="M121" s="113">
        <v>129862780.22435887</v>
      </c>
      <c r="N121" s="113">
        <v>628</v>
      </c>
      <c r="O121" s="113">
        <v>2029755.2082636915</v>
      </c>
      <c r="P121" s="113">
        <v>131892535.43262252</v>
      </c>
      <c r="Q121" s="113">
        <v>0</v>
      </c>
      <c r="R121" s="113">
        <v>138477618.86289665</v>
      </c>
      <c r="S121" s="113">
        <v>0</v>
      </c>
      <c r="T121" s="113">
        <v>0</v>
      </c>
      <c r="U121" s="113">
        <v>9850572.7718857136</v>
      </c>
      <c r="V121" s="113">
        <v>128627046.09101093</v>
      </c>
      <c r="W121" s="113">
        <v>4010442.8106298302</v>
      </c>
      <c r="X121" s="113">
        <v>142488061.6735265</v>
      </c>
    </row>
    <row r="122" spans="2:42" ht="15.75" x14ac:dyDescent="0.25">
      <c r="B122" s="133"/>
      <c r="C122" s="134"/>
      <c r="D122" s="113"/>
      <c r="E122" s="114"/>
      <c r="F122" s="173"/>
      <c r="G122" s="116" t="s">
        <v>244</v>
      </c>
      <c r="H122" s="116" t="s">
        <v>244</v>
      </c>
      <c r="I122" s="113"/>
      <c r="J122" s="117" t="s">
        <v>244</v>
      </c>
      <c r="K122" s="118"/>
      <c r="L122" s="119">
        <v>0</v>
      </c>
      <c r="M122" s="120"/>
      <c r="N122" s="121" t="s">
        <v>244</v>
      </c>
      <c r="O122" s="122" t="s">
        <v>244</v>
      </c>
      <c r="P122" s="123" t="s">
        <v>244</v>
      </c>
      <c r="Q122" s="124"/>
      <c r="R122" s="135"/>
      <c r="S122" s="136"/>
      <c r="T122" s="137"/>
      <c r="U122" s="138" t="s">
        <v>244</v>
      </c>
      <c r="V122" s="138" t="s">
        <v>244</v>
      </c>
      <c r="W122" s="139" t="s">
        <v>244</v>
      </c>
      <c r="X122" s="139" t="s">
        <v>244</v>
      </c>
    </row>
    <row r="123" spans="2:42" ht="15.75" x14ac:dyDescent="0.25">
      <c r="B123" s="133"/>
      <c r="C123" s="134"/>
      <c r="D123" s="113"/>
      <c r="E123" s="114"/>
      <c r="F123" s="173" t="s">
        <v>132</v>
      </c>
      <c r="G123" s="116" t="s">
        <v>244</v>
      </c>
      <c r="H123" s="116">
        <v>143083836.01124975</v>
      </c>
      <c r="I123" s="113"/>
      <c r="J123" s="117" t="s">
        <v>244</v>
      </c>
      <c r="K123" s="118"/>
      <c r="L123" s="119">
        <v>0</v>
      </c>
      <c r="M123" s="120"/>
      <c r="N123" s="121" t="s">
        <v>244</v>
      </c>
      <c r="O123" s="122" t="s">
        <v>244</v>
      </c>
      <c r="P123" s="123" t="s">
        <v>244</v>
      </c>
      <c r="Q123" s="124"/>
      <c r="R123" s="135"/>
      <c r="S123" s="136"/>
      <c r="T123" s="137"/>
      <c r="U123" s="138" t="s">
        <v>244</v>
      </c>
      <c r="V123" s="138" t="s">
        <v>244</v>
      </c>
      <c r="W123" s="139" t="s">
        <v>244</v>
      </c>
      <c r="X123" s="139" t="s">
        <v>244</v>
      </c>
    </row>
    <row r="124" spans="2:42" ht="15.75" x14ac:dyDescent="0.25">
      <c r="B124" s="133"/>
      <c r="C124" s="134"/>
      <c r="D124" s="113"/>
      <c r="E124" s="114"/>
      <c r="F124" s="173"/>
      <c r="G124" s="116" t="s">
        <v>244</v>
      </c>
      <c r="H124" s="116">
        <v>11243449.996672228</v>
      </c>
      <c r="I124" s="113"/>
      <c r="J124" s="117" t="s">
        <v>244</v>
      </c>
      <c r="K124" s="118"/>
      <c r="L124" s="119">
        <v>0</v>
      </c>
      <c r="M124" s="120" t="s">
        <v>244</v>
      </c>
      <c r="N124" s="121" t="s">
        <v>244</v>
      </c>
      <c r="O124" s="122" t="s">
        <v>244</v>
      </c>
      <c r="P124" s="123" t="s">
        <v>244</v>
      </c>
      <c r="Q124" s="124"/>
      <c r="R124" s="135"/>
      <c r="S124" s="136"/>
      <c r="T124" s="137"/>
      <c r="U124" s="138" t="s">
        <v>244</v>
      </c>
      <c r="V124" s="138" t="s">
        <v>244</v>
      </c>
      <c r="W124" s="139" t="s">
        <v>244</v>
      </c>
      <c r="X124" s="139" t="s">
        <v>244</v>
      </c>
    </row>
    <row r="125" spans="2:42" ht="15.75" x14ac:dyDescent="0.25">
      <c r="B125" s="133"/>
      <c r="C125" s="134"/>
      <c r="D125" s="113"/>
      <c r="E125" s="114"/>
      <c r="F125" s="173" t="s">
        <v>133</v>
      </c>
      <c r="G125" s="116" t="s">
        <v>134</v>
      </c>
      <c r="H125" s="116">
        <v>1505293.9400000002</v>
      </c>
      <c r="I125" s="113"/>
      <c r="J125" s="117" t="s">
        <v>244</v>
      </c>
      <c r="K125" s="118"/>
      <c r="L125" s="119">
        <v>0</v>
      </c>
      <c r="M125" s="120" t="s">
        <v>244</v>
      </c>
      <c r="N125" s="121" t="s">
        <v>244</v>
      </c>
      <c r="O125" s="122" t="s">
        <v>244</v>
      </c>
      <c r="P125" s="123" t="s">
        <v>244</v>
      </c>
      <c r="Q125" s="124"/>
      <c r="R125" s="135"/>
      <c r="S125" s="136"/>
      <c r="T125" s="137"/>
      <c r="U125" s="138" t="s">
        <v>244</v>
      </c>
      <c r="V125" s="138"/>
      <c r="W125" s="139" t="s">
        <v>244</v>
      </c>
      <c r="X125" s="139" t="s">
        <v>244</v>
      </c>
    </row>
    <row r="126" spans="2:42" ht="15.75" x14ac:dyDescent="0.25">
      <c r="B126" s="133"/>
      <c r="C126" s="134"/>
      <c r="D126" s="113"/>
      <c r="E126" s="114"/>
      <c r="F126" s="173"/>
      <c r="G126" s="116" t="s">
        <v>135</v>
      </c>
      <c r="H126" s="116">
        <v>1338156.0566722197</v>
      </c>
      <c r="I126" s="113"/>
      <c r="J126" s="117" t="s">
        <v>244</v>
      </c>
      <c r="K126" s="118"/>
      <c r="L126" s="119">
        <v>0</v>
      </c>
      <c r="M126" s="120" t="s">
        <v>244</v>
      </c>
      <c r="N126" s="121" t="s">
        <v>244</v>
      </c>
      <c r="O126" s="122" t="s">
        <v>244</v>
      </c>
      <c r="P126" s="123" t="s">
        <v>244</v>
      </c>
      <c r="Q126" s="124"/>
      <c r="R126" s="135"/>
      <c r="S126" s="136"/>
      <c r="T126" s="137"/>
      <c r="U126" s="138" t="s">
        <v>244</v>
      </c>
      <c r="V126" s="138" t="s">
        <v>244</v>
      </c>
      <c r="W126" s="139" t="s">
        <v>244</v>
      </c>
      <c r="X126" s="139" t="s">
        <v>244</v>
      </c>
    </row>
    <row r="127" spans="2:42" ht="15.75" x14ac:dyDescent="0.25">
      <c r="B127" s="133">
        <v>1</v>
      </c>
      <c r="C127" s="134">
        <v>2</v>
      </c>
      <c r="D127" s="133">
        <v>3</v>
      </c>
      <c r="E127" s="134">
        <v>4</v>
      </c>
      <c r="F127" s="133">
        <v>5</v>
      </c>
      <c r="G127" s="134">
        <v>6</v>
      </c>
      <c r="H127" s="133">
        <v>7</v>
      </c>
      <c r="I127" s="134">
        <v>8</v>
      </c>
      <c r="J127" s="133">
        <v>9</v>
      </c>
      <c r="K127" s="134">
        <v>10</v>
      </c>
      <c r="L127" s="133">
        <v>11</v>
      </c>
      <c r="M127" s="134">
        <v>12</v>
      </c>
      <c r="N127" s="133">
        <v>13</v>
      </c>
      <c r="O127" s="134">
        <v>14</v>
      </c>
      <c r="P127" s="133">
        <v>15</v>
      </c>
      <c r="Q127" s="134">
        <v>16</v>
      </c>
      <c r="R127" s="133">
        <v>17</v>
      </c>
      <c r="S127" s="134">
        <v>18</v>
      </c>
      <c r="T127" s="133">
        <v>19</v>
      </c>
      <c r="U127" s="134">
        <v>20</v>
      </c>
      <c r="V127" s="133">
        <v>21</v>
      </c>
      <c r="W127" s="134">
        <v>22</v>
      </c>
      <c r="X127" s="133">
        <v>23</v>
      </c>
      <c r="Y127" s="134">
        <v>24</v>
      </c>
      <c r="Z127" s="133">
        <v>25</v>
      </c>
      <c r="AA127" s="134">
        <v>26</v>
      </c>
      <c r="AB127" s="133">
        <v>27</v>
      </c>
      <c r="AC127" s="134">
        <v>28</v>
      </c>
      <c r="AD127" s="133">
        <v>29</v>
      </c>
      <c r="AE127" s="134">
        <v>30</v>
      </c>
      <c r="AF127" s="133">
        <v>31</v>
      </c>
      <c r="AG127" s="134">
        <v>32</v>
      </c>
      <c r="AH127" s="133">
        <v>33</v>
      </c>
      <c r="AI127" s="134">
        <v>34</v>
      </c>
      <c r="AJ127" s="133">
        <v>35</v>
      </c>
      <c r="AK127" s="134">
        <v>36</v>
      </c>
      <c r="AL127" s="133">
        <v>37</v>
      </c>
      <c r="AM127" s="134">
        <v>38</v>
      </c>
    </row>
    <row r="128" spans="2:42" ht="15.75" x14ac:dyDescent="0.25">
      <c r="B128" s="133"/>
      <c r="C128" s="134"/>
      <c r="D128" s="113"/>
      <c r="E128" s="114"/>
      <c r="F128" s="173"/>
      <c r="G128" s="116" t="s">
        <v>244</v>
      </c>
      <c r="H128" s="181">
        <v>11243449.996672219</v>
      </c>
      <c r="I128" s="113"/>
      <c r="J128" s="117" t="s">
        <v>244</v>
      </c>
      <c r="K128" s="118"/>
      <c r="L128" s="119">
        <v>0</v>
      </c>
      <c r="M128" s="120" t="s">
        <v>244</v>
      </c>
      <c r="N128" s="121" t="s">
        <v>244</v>
      </c>
      <c r="O128" s="122" t="s">
        <v>244</v>
      </c>
      <c r="P128" s="123" t="s">
        <v>244</v>
      </c>
      <c r="Q128" s="124"/>
      <c r="R128" s="135"/>
      <c r="S128" s="136"/>
      <c r="T128" s="137"/>
      <c r="U128" s="138" t="s">
        <v>244</v>
      </c>
      <c r="V128" s="138" t="s">
        <v>244</v>
      </c>
      <c r="W128" s="139" t="s">
        <v>244</v>
      </c>
      <c r="X128" s="139" t="s">
        <v>244</v>
      </c>
    </row>
    <row r="129" spans="2:24" s="49" customFormat="1" ht="15.75" x14ac:dyDescent="0.25">
      <c r="B129" s="133"/>
      <c r="C129" s="134"/>
      <c r="D129" s="113"/>
      <c r="E129" s="114"/>
      <c r="F129" s="173" t="s">
        <v>136</v>
      </c>
      <c r="G129" s="116" t="s">
        <v>244</v>
      </c>
      <c r="H129" s="116">
        <v>131840386.01457755</v>
      </c>
      <c r="I129" s="113"/>
      <c r="J129" s="117" t="s">
        <v>244</v>
      </c>
      <c r="K129" s="118"/>
      <c r="L129" s="119">
        <v>0</v>
      </c>
      <c r="M129" s="120" t="s">
        <v>244</v>
      </c>
      <c r="N129" s="121" t="s">
        <v>244</v>
      </c>
      <c r="O129" s="122" t="s">
        <v>244</v>
      </c>
      <c r="P129" s="123" t="s">
        <v>244</v>
      </c>
      <c r="Q129" s="124"/>
      <c r="R129" s="135"/>
      <c r="S129" s="136"/>
      <c r="T129" s="137"/>
      <c r="U129" s="138" t="s">
        <v>244</v>
      </c>
      <c r="V129" s="138" t="s">
        <v>244</v>
      </c>
      <c r="W129" s="139" t="s">
        <v>244</v>
      </c>
      <c r="X129" s="139" t="s">
        <v>244</v>
      </c>
    </row>
    <row r="130" spans="2:24" s="49" customFormat="1" ht="15.75" x14ac:dyDescent="0.25">
      <c r="B130" s="133"/>
      <c r="C130" s="134"/>
      <c r="D130" s="113"/>
      <c r="E130" s="114"/>
      <c r="F130" s="173" t="s">
        <v>129</v>
      </c>
      <c r="G130" s="116" t="s">
        <v>244</v>
      </c>
      <c r="H130" s="116">
        <v>0</v>
      </c>
      <c r="I130" s="113"/>
      <c r="J130" s="117" t="s">
        <v>244</v>
      </c>
      <c r="K130" s="118"/>
      <c r="L130" s="119">
        <v>0</v>
      </c>
      <c r="M130" s="120" t="s">
        <v>244</v>
      </c>
      <c r="N130" s="121" t="s">
        <v>244</v>
      </c>
      <c r="O130" s="122" t="s">
        <v>244</v>
      </c>
      <c r="P130" s="123" t="s">
        <v>244</v>
      </c>
      <c r="Q130" s="124"/>
      <c r="R130" s="135"/>
      <c r="S130" s="136"/>
      <c r="T130" s="137"/>
      <c r="U130" s="138" t="s">
        <v>244</v>
      </c>
      <c r="V130" s="138" t="s">
        <v>244</v>
      </c>
      <c r="W130" s="139" t="s">
        <v>244</v>
      </c>
      <c r="X130" s="139" t="s">
        <v>244</v>
      </c>
    </row>
    <row r="131" spans="2:24" s="49" customFormat="1" ht="15.75" x14ac:dyDescent="0.25">
      <c r="B131" s="133"/>
      <c r="C131" s="134"/>
      <c r="D131" s="113"/>
      <c r="E131" s="114"/>
      <c r="F131" s="173"/>
      <c r="G131" s="116" t="s">
        <v>244</v>
      </c>
      <c r="H131" s="116" t="s">
        <v>244</v>
      </c>
      <c r="I131" s="113"/>
      <c r="J131" s="117" t="s">
        <v>244</v>
      </c>
      <c r="K131" s="118"/>
      <c r="L131" s="119">
        <v>0</v>
      </c>
      <c r="M131" s="120" t="s">
        <v>244</v>
      </c>
      <c r="N131" s="121" t="s">
        <v>244</v>
      </c>
      <c r="O131" s="122" t="s">
        <v>244</v>
      </c>
      <c r="P131" s="123" t="s">
        <v>244</v>
      </c>
      <c r="Q131" s="124"/>
      <c r="R131" s="135"/>
      <c r="S131" s="136"/>
      <c r="T131" s="137"/>
      <c r="U131" s="138" t="s">
        <v>244</v>
      </c>
      <c r="V131" s="138" t="s">
        <v>244</v>
      </c>
      <c r="W131" s="139" t="s">
        <v>244</v>
      </c>
      <c r="X131" s="139" t="s">
        <v>244</v>
      </c>
    </row>
    <row r="132" spans="2:24" s="49" customFormat="1" ht="15.75" x14ac:dyDescent="0.25">
      <c r="B132" s="133"/>
      <c r="C132" s="134"/>
      <c r="D132" s="113"/>
      <c r="E132" s="114"/>
      <c r="F132" s="173"/>
      <c r="G132" s="116" t="s">
        <v>244</v>
      </c>
      <c r="H132" s="116" t="s">
        <v>244</v>
      </c>
      <c r="I132" s="113"/>
      <c r="J132" s="117" t="s">
        <v>244</v>
      </c>
      <c r="K132" s="118"/>
      <c r="L132" s="119">
        <v>0</v>
      </c>
      <c r="M132" s="120" t="s">
        <v>244</v>
      </c>
      <c r="N132" s="121" t="s">
        <v>244</v>
      </c>
      <c r="O132" s="122" t="s">
        <v>244</v>
      </c>
      <c r="P132" s="123" t="s">
        <v>244</v>
      </c>
      <c r="Q132" s="124"/>
      <c r="R132" s="135"/>
      <c r="S132" s="136"/>
      <c r="T132" s="137"/>
      <c r="U132" s="138" t="s">
        <v>244</v>
      </c>
      <c r="V132" s="138" t="s">
        <v>244</v>
      </c>
      <c r="W132" s="139" t="s">
        <v>244</v>
      </c>
      <c r="X132" s="139" t="s">
        <v>244</v>
      </c>
    </row>
    <row r="133" spans="2:24" s="49" customFormat="1" ht="15.75" x14ac:dyDescent="0.25">
      <c r="B133" s="133"/>
      <c r="C133" s="134"/>
      <c r="D133" s="113"/>
      <c r="E133" s="114"/>
      <c r="F133" s="173"/>
      <c r="G133" s="116" t="s">
        <v>244</v>
      </c>
      <c r="H133" s="116" t="s">
        <v>244</v>
      </c>
      <c r="I133" s="113"/>
      <c r="J133" s="117" t="s">
        <v>244</v>
      </c>
      <c r="K133" s="118"/>
      <c r="L133" s="119">
        <v>0</v>
      </c>
      <c r="M133" s="120" t="s">
        <v>244</v>
      </c>
      <c r="N133" s="121" t="s">
        <v>244</v>
      </c>
      <c r="O133" s="122" t="s">
        <v>244</v>
      </c>
      <c r="P133" s="123" t="s">
        <v>244</v>
      </c>
      <c r="Q133" s="124"/>
      <c r="R133" s="135"/>
      <c r="S133" s="136"/>
      <c r="T133" s="137"/>
      <c r="U133" s="138" t="s">
        <v>244</v>
      </c>
      <c r="V133" s="138" t="s">
        <v>244</v>
      </c>
      <c r="W133" s="139" t="s">
        <v>244</v>
      </c>
      <c r="X133" s="139" t="s">
        <v>244</v>
      </c>
    </row>
    <row r="134" spans="2:24" s="49" customFormat="1" ht="15.75" x14ac:dyDescent="0.25">
      <c r="B134" s="133"/>
      <c r="C134" s="134"/>
      <c r="D134" s="113"/>
      <c r="E134" s="114"/>
      <c r="F134" s="173"/>
      <c r="G134" s="116" t="s">
        <v>244</v>
      </c>
      <c r="H134" s="116" t="s">
        <v>244</v>
      </c>
      <c r="I134" s="113"/>
      <c r="J134" s="117" t="s">
        <v>244</v>
      </c>
      <c r="K134" s="118"/>
      <c r="L134" s="119">
        <v>0</v>
      </c>
      <c r="M134" s="120" t="s">
        <v>244</v>
      </c>
      <c r="N134" s="121" t="s">
        <v>244</v>
      </c>
      <c r="O134" s="122" t="s">
        <v>244</v>
      </c>
      <c r="P134" s="123" t="s">
        <v>244</v>
      </c>
      <c r="Q134" s="124"/>
      <c r="R134" s="135"/>
      <c r="S134" s="136"/>
      <c r="T134" s="137"/>
      <c r="U134" s="138" t="s">
        <v>244</v>
      </c>
      <c r="V134" s="138" t="s">
        <v>244</v>
      </c>
      <c r="W134" s="139" t="s">
        <v>244</v>
      </c>
      <c r="X134" s="139" t="s">
        <v>244</v>
      </c>
    </row>
    <row r="135" spans="2:24" s="49" customFormat="1" ht="15.75" x14ac:dyDescent="0.25">
      <c r="B135" s="133"/>
      <c r="C135" s="134"/>
      <c r="D135" s="113"/>
      <c r="E135" s="114"/>
      <c r="F135" s="173"/>
      <c r="G135" s="116" t="s">
        <v>244</v>
      </c>
      <c r="H135" s="116" t="s">
        <v>244</v>
      </c>
      <c r="I135" s="113"/>
      <c r="J135" s="117" t="s">
        <v>244</v>
      </c>
      <c r="K135" s="118"/>
      <c r="L135" s="119">
        <v>0</v>
      </c>
      <c r="M135" s="120" t="s">
        <v>244</v>
      </c>
      <c r="N135" s="121" t="s">
        <v>244</v>
      </c>
      <c r="O135" s="122" t="s">
        <v>244</v>
      </c>
      <c r="P135" s="123" t="s">
        <v>244</v>
      </c>
      <c r="Q135" s="124"/>
      <c r="R135" s="135"/>
      <c r="S135" s="136"/>
      <c r="T135" s="137"/>
      <c r="U135" s="138" t="s">
        <v>244</v>
      </c>
      <c r="V135" s="138" t="s">
        <v>244</v>
      </c>
      <c r="W135" s="139" t="s">
        <v>244</v>
      </c>
      <c r="X135" s="139" t="s">
        <v>244</v>
      </c>
    </row>
    <row r="136" spans="2:24" s="49" customFormat="1" ht="15.75" x14ac:dyDescent="0.25">
      <c r="B136" s="133"/>
      <c r="C136" s="134"/>
      <c r="D136" s="113"/>
      <c r="E136" s="114"/>
      <c r="F136" s="173"/>
      <c r="G136" s="116" t="s">
        <v>244</v>
      </c>
      <c r="H136" s="116" t="s">
        <v>244</v>
      </c>
      <c r="I136" s="113"/>
      <c r="J136" s="117" t="s">
        <v>244</v>
      </c>
      <c r="K136" s="118"/>
      <c r="L136" s="119">
        <v>0</v>
      </c>
      <c r="M136" s="120" t="s">
        <v>244</v>
      </c>
      <c r="N136" s="121" t="s">
        <v>244</v>
      </c>
      <c r="O136" s="122" t="s">
        <v>244</v>
      </c>
      <c r="P136" s="123" t="s">
        <v>244</v>
      </c>
      <c r="Q136" s="124"/>
      <c r="R136" s="135"/>
      <c r="S136" s="136"/>
      <c r="T136" s="137"/>
      <c r="U136" s="138" t="s">
        <v>244</v>
      </c>
      <c r="V136" s="138" t="s">
        <v>244</v>
      </c>
      <c r="W136" s="139" t="s">
        <v>244</v>
      </c>
      <c r="X136" s="139" t="s">
        <v>244</v>
      </c>
    </row>
    <row r="137" spans="2:24" s="49" customFormat="1" ht="15.75" x14ac:dyDescent="0.25">
      <c r="B137" s="133"/>
      <c r="C137" s="134"/>
      <c r="D137" s="113"/>
      <c r="E137" s="114"/>
      <c r="F137" s="173"/>
      <c r="G137" s="116" t="s">
        <v>244</v>
      </c>
      <c r="H137" s="116" t="s">
        <v>244</v>
      </c>
      <c r="I137" s="113"/>
      <c r="J137" s="117" t="s">
        <v>244</v>
      </c>
      <c r="K137" s="118"/>
      <c r="L137" s="119">
        <v>0</v>
      </c>
      <c r="M137" s="120" t="s">
        <v>244</v>
      </c>
      <c r="N137" s="121" t="s">
        <v>244</v>
      </c>
      <c r="O137" s="122" t="s">
        <v>244</v>
      </c>
      <c r="P137" s="123" t="s">
        <v>244</v>
      </c>
      <c r="Q137" s="124"/>
      <c r="R137" s="135"/>
      <c r="S137" s="136"/>
      <c r="T137" s="137"/>
      <c r="U137" s="138" t="s">
        <v>244</v>
      </c>
      <c r="V137" s="138" t="s">
        <v>244</v>
      </c>
      <c r="W137" s="139" t="s">
        <v>244</v>
      </c>
      <c r="X137" s="139" t="s">
        <v>244</v>
      </c>
    </row>
    <row r="138" spans="2:24" s="49" customFormat="1" ht="15.75" x14ac:dyDescent="0.25">
      <c r="B138" s="133"/>
      <c r="C138" s="134"/>
      <c r="D138" s="113"/>
      <c r="E138" s="114"/>
      <c r="F138" s="173"/>
      <c r="G138" s="116" t="s">
        <v>244</v>
      </c>
      <c r="H138" s="116" t="s">
        <v>244</v>
      </c>
      <c r="I138" s="113"/>
      <c r="J138" s="117" t="s">
        <v>244</v>
      </c>
      <c r="K138" s="118"/>
      <c r="L138" s="119">
        <v>0</v>
      </c>
      <c r="M138" s="120" t="s">
        <v>244</v>
      </c>
      <c r="N138" s="121" t="s">
        <v>244</v>
      </c>
      <c r="O138" s="122" t="s">
        <v>244</v>
      </c>
      <c r="P138" s="123" t="s">
        <v>244</v>
      </c>
      <c r="Q138" s="124"/>
      <c r="R138" s="135"/>
      <c r="S138" s="136"/>
      <c r="T138" s="137"/>
      <c r="U138" s="138" t="s">
        <v>244</v>
      </c>
      <c r="V138" s="138" t="s">
        <v>244</v>
      </c>
      <c r="W138" s="139" t="s">
        <v>244</v>
      </c>
      <c r="X138" s="139" t="s">
        <v>244</v>
      </c>
    </row>
    <row r="139" spans="2:24" s="49" customFormat="1" ht="15.75" x14ac:dyDescent="0.25">
      <c r="B139" s="133">
        <v>1</v>
      </c>
      <c r="C139" s="134">
        <v>2</v>
      </c>
      <c r="D139" s="113"/>
      <c r="E139" s="114"/>
      <c r="F139" s="173"/>
      <c r="G139" s="116" t="s">
        <v>244</v>
      </c>
      <c r="H139" s="116" t="s">
        <v>244</v>
      </c>
      <c r="I139" s="113"/>
      <c r="J139" s="117" t="s">
        <v>244</v>
      </c>
      <c r="K139" s="118"/>
      <c r="L139" s="119">
        <v>0</v>
      </c>
      <c r="M139" s="120" t="s">
        <v>244</v>
      </c>
      <c r="N139" s="121" t="s">
        <v>244</v>
      </c>
      <c r="O139" s="122" t="s">
        <v>244</v>
      </c>
      <c r="P139" s="123" t="s">
        <v>244</v>
      </c>
      <c r="Q139" s="124"/>
      <c r="R139" s="135"/>
      <c r="S139" s="136"/>
      <c r="T139" s="137"/>
      <c r="U139" s="138" t="s">
        <v>244</v>
      </c>
      <c r="V139" s="138" t="s">
        <v>244</v>
      </c>
      <c r="W139" s="139" t="s">
        <v>244</v>
      </c>
      <c r="X139" s="139" t="s">
        <v>244</v>
      </c>
    </row>
    <row r="140" spans="2:24" s="49" customFormat="1" ht="15.75" x14ac:dyDescent="0.25">
      <c r="B140" s="133"/>
      <c r="C140" s="134"/>
      <c r="D140" s="113"/>
      <c r="E140" s="114"/>
      <c r="F140" s="173"/>
      <c r="G140" s="116" t="s">
        <v>244</v>
      </c>
      <c r="H140" s="116" t="s">
        <v>244</v>
      </c>
      <c r="I140" s="113"/>
      <c r="J140" s="117" t="s">
        <v>244</v>
      </c>
      <c r="K140" s="118"/>
      <c r="L140" s="119">
        <v>0</v>
      </c>
      <c r="M140" s="120" t="s">
        <v>244</v>
      </c>
      <c r="N140" s="121" t="s">
        <v>244</v>
      </c>
      <c r="O140" s="122" t="s">
        <v>244</v>
      </c>
      <c r="P140" s="123" t="s">
        <v>244</v>
      </c>
      <c r="Q140" s="124"/>
      <c r="R140" s="135"/>
      <c r="S140" s="136"/>
      <c r="T140" s="137"/>
      <c r="U140" s="138" t="s">
        <v>244</v>
      </c>
      <c r="V140" s="138" t="s">
        <v>244</v>
      </c>
      <c r="W140" s="139" t="s">
        <v>244</v>
      </c>
      <c r="X140" s="139" t="s">
        <v>244</v>
      </c>
    </row>
    <row r="141" spans="2:24" s="49" customFormat="1" ht="15.75" x14ac:dyDescent="0.25">
      <c r="B141" s="133"/>
      <c r="C141" s="134"/>
      <c r="D141" s="113"/>
      <c r="E141" s="114"/>
      <c r="F141" s="173"/>
      <c r="G141" s="116" t="s">
        <v>244</v>
      </c>
      <c r="H141" s="116" t="s">
        <v>244</v>
      </c>
      <c r="I141" s="113"/>
      <c r="J141" s="117" t="s">
        <v>244</v>
      </c>
      <c r="K141" s="118"/>
      <c r="L141" s="119">
        <v>0</v>
      </c>
      <c r="M141" s="120" t="s">
        <v>244</v>
      </c>
      <c r="N141" s="121" t="s">
        <v>244</v>
      </c>
      <c r="O141" s="122" t="s">
        <v>244</v>
      </c>
      <c r="P141" s="123" t="s">
        <v>244</v>
      </c>
      <c r="Q141" s="124"/>
      <c r="R141" s="135"/>
      <c r="S141" s="136"/>
      <c r="T141" s="137"/>
      <c r="U141" s="138" t="s">
        <v>244</v>
      </c>
      <c r="V141" s="138" t="s">
        <v>244</v>
      </c>
      <c r="W141" s="139" t="s">
        <v>244</v>
      </c>
      <c r="X141" s="139" t="s">
        <v>244</v>
      </c>
    </row>
    <row r="142" spans="2:24" s="49" customFormat="1" ht="15.75" x14ac:dyDescent="0.25">
      <c r="B142" s="133"/>
      <c r="C142" s="134"/>
      <c r="D142" s="113"/>
      <c r="E142" s="114"/>
      <c r="F142" s="173"/>
      <c r="G142" s="116" t="s">
        <v>244</v>
      </c>
      <c r="H142" s="116" t="s">
        <v>244</v>
      </c>
      <c r="I142" s="113"/>
      <c r="J142" s="117" t="s">
        <v>244</v>
      </c>
      <c r="K142" s="118"/>
      <c r="L142" s="119">
        <v>0</v>
      </c>
      <c r="M142" s="120" t="s">
        <v>244</v>
      </c>
      <c r="N142" s="121" t="s">
        <v>244</v>
      </c>
      <c r="O142" s="122" t="s">
        <v>244</v>
      </c>
      <c r="P142" s="123" t="s">
        <v>244</v>
      </c>
      <c r="Q142" s="124"/>
      <c r="R142" s="135"/>
      <c r="S142" s="136"/>
      <c r="T142" s="137"/>
      <c r="U142" s="138" t="s">
        <v>244</v>
      </c>
      <c r="V142" s="138" t="s">
        <v>244</v>
      </c>
      <c r="W142" s="139" t="s">
        <v>244</v>
      </c>
      <c r="X142" s="139" t="s">
        <v>244</v>
      </c>
    </row>
    <row r="143" spans="2:24" s="49" customFormat="1" ht="15.75" x14ac:dyDescent="0.25">
      <c r="B143" s="133"/>
      <c r="C143" s="134"/>
      <c r="D143" s="113"/>
      <c r="E143" s="114"/>
      <c r="F143" s="173"/>
      <c r="G143" s="116" t="s">
        <v>244</v>
      </c>
      <c r="H143" s="116" t="s">
        <v>244</v>
      </c>
      <c r="I143" s="113"/>
      <c r="J143" s="117" t="s">
        <v>244</v>
      </c>
      <c r="K143" s="118"/>
      <c r="L143" s="119">
        <v>0</v>
      </c>
      <c r="M143" s="120" t="s">
        <v>244</v>
      </c>
      <c r="N143" s="121" t="s">
        <v>244</v>
      </c>
      <c r="O143" s="122" t="s">
        <v>244</v>
      </c>
      <c r="P143" s="123" t="s">
        <v>244</v>
      </c>
      <c r="Q143" s="124"/>
      <c r="R143" s="135"/>
      <c r="S143" s="136"/>
      <c r="T143" s="137"/>
      <c r="U143" s="138" t="s">
        <v>244</v>
      </c>
      <c r="V143" s="138" t="s">
        <v>244</v>
      </c>
      <c r="W143" s="139" t="s">
        <v>244</v>
      </c>
      <c r="X143" s="139" t="s">
        <v>244</v>
      </c>
    </row>
    <row r="144" spans="2:24" s="49" customFormat="1" ht="15.75" x14ac:dyDescent="0.25">
      <c r="B144" s="133"/>
      <c r="C144" s="134"/>
      <c r="D144" s="113"/>
      <c r="E144" s="114"/>
      <c r="F144" s="173"/>
      <c r="G144" s="116" t="s">
        <v>244</v>
      </c>
      <c r="H144" s="116" t="s">
        <v>244</v>
      </c>
      <c r="I144" s="113"/>
      <c r="J144" s="117" t="s">
        <v>244</v>
      </c>
      <c r="K144" s="118"/>
      <c r="L144" s="119">
        <v>0</v>
      </c>
      <c r="M144" s="120" t="s">
        <v>244</v>
      </c>
      <c r="N144" s="121" t="s">
        <v>244</v>
      </c>
      <c r="O144" s="122" t="s">
        <v>244</v>
      </c>
      <c r="P144" s="123" t="s">
        <v>244</v>
      </c>
      <c r="Q144" s="124"/>
      <c r="R144" s="135"/>
      <c r="S144" s="136"/>
      <c r="T144" s="137"/>
      <c r="U144" s="138" t="s">
        <v>244</v>
      </c>
      <c r="V144" s="138" t="s">
        <v>244</v>
      </c>
      <c r="W144" s="139" t="s">
        <v>244</v>
      </c>
      <c r="X144" s="139" t="s">
        <v>244</v>
      </c>
    </row>
    <row r="145" spans="2:24" s="49" customFormat="1" ht="15.75" x14ac:dyDescent="0.25">
      <c r="B145" s="133"/>
      <c r="C145" s="134"/>
      <c r="D145" s="113"/>
      <c r="E145" s="114"/>
      <c r="F145" s="173"/>
      <c r="G145" s="116" t="s">
        <v>244</v>
      </c>
      <c r="H145" s="116" t="s">
        <v>244</v>
      </c>
      <c r="I145" s="113"/>
      <c r="J145" s="117" t="s">
        <v>244</v>
      </c>
      <c r="K145" s="118"/>
      <c r="L145" s="119">
        <v>0</v>
      </c>
      <c r="M145" s="120" t="s">
        <v>244</v>
      </c>
      <c r="N145" s="121" t="s">
        <v>244</v>
      </c>
      <c r="O145" s="122" t="s">
        <v>244</v>
      </c>
      <c r="P145" s="123" t="s">
        <v>244</v>
      </c>
      <c r="Q145" s="124"/>
      <c r="R145" s="135"/>
      <c r="S145" s="136"/>
      <c r="T145" s="137"/>
      <c r="U145" s="138" t="s">
        <v>244</v>
      </c>
      <c r="V145" s="138" t="s">
        <v>244</v>
      </c>
      <c r="W145" s="139" t="s">
        <v>244</v>
      </c>
      <c r="X145" s="139" t="s">
        <v>244</v>
      </c>
    </row>
    <row r="146" spans="2:24" s="49" customFormat="1" ht="15.75" x14ac:dyDescent="0.25">
      <c r="B146" s="133"/>
      <c r="C146" s="134"/>
      <c r="D146" s="113"/>
      <c r="E146" s="114"/>
      <c r="F146" s="173"/>
      <c r="G146" s="116" t="s">
        <v>244</v>
      </c>
      <c r="H146" s="116" t="s">
        <v>244</v>
      </c>
      <c r="I146" s="113"/>
      <c r="J146" s="117" t="s">
        <v>244</v>
      </c>
      <c r="K146" s="118"/>
      <c r="L146" s="119">
        <v>0</v>
      </c>
      <c r="M146" s="120" t="s">
        <v>244</v>
      </c>
      <c r="N146" s="121" t="s">
        <v>244</v>
      </c>
      <c r="O146" s="122" t="s">
        <v>244</v>
      </c>
      <c r="P146" s="123" t="s">
        <v>244</v>
      </c>
      <c r="Q146" s="124"/>
      <c r="R146" s="135"/>
      <c r="S146" s="136"/>
      <c r="T146" s="137"/>
      <c r="U146" s="138" t="s">
        <v>244</v>
      </c>
      <c r="V146" s="138" t="s">
        <v>244</v>
      </c>
      <c r="W146" s="139" t="s">
        <v>244</v>
      </c>
      <c r="X146" s="139" t="s">
        <v>244</v>
      </c>
    </row>
    <row r="147" spans="2:24" s="49" customFormat="1" ht="15.75" x14ac:dyDescent="0.25">
      <c r="B147" s="133"/>
      <c r="C147" s="134"/>
      <c r="D147" s="113"/>
      <c r="E147" s="114"/>
      <c r="F147" s="173"/>
      <c r="G147" s="116" t="s">
        <v>244</v>
      </c>
      <c r="H147" s="116" t="s">
        <v>244</v>
      </c>
      <c r="I147" s="113"/>
      <c r="J147" s="117" t="s">
        <v>244</v>
      </c>
      <c r="K147" s="118"/>
      <c r="L147" s="119">
        <v>0</v>
      </c>
      <c r="M147" s="120" t="s">
        <v>244</v>
      </c>
      <c r="N147" s="121" t="s">
        <v>244</v>
      </c>
      <c r="O147" s="122" t="s">
        <v>244</v>
      </c>
      <c r="P147" s="123" t="s">
        <v>244</v>
      </c>
      <c r="Q147" s="124"/>
      <c r="R147" s="135"/>
      <c r="S147" s="136"/>
      <c r="T147" s="137"/>
      <c r="U147" s="138" t="s">
        <v>244</v>
      </c>
      <c r="V147" s="138" t="s">
        <v>244</v>
      </c>
      <c r="W147" s="139" t="s">
        <v>244</v>
      </c>
      <c r="X147" s="139" t="s">
        <v>244</v>
      </c>
    </row>
    <row r="148" spans="2:24" s="49" customFormat="1" ht="15.75" x14ac:dyDescent="0.25">
      <c r="B148" s="133"/>
      <c r="C148" s="134"/>
      <c r="D148" s="113"/>
      <c r="E148" s="114"/>
      <c r="F148" s="173"/>
      <c r="G148" s="116" t="s">
        <v>244</v>
      </c>
      <c r="H148" s="116" t="s">
        <v>244</v>
      </c>
      <c r="I148" s="113"/>
      <c r="J148" s="117" t="s">
        <v>244</v>
      </c>
      <c r="K148" s="118"/>
      <c r="L148" s="119">
        <v>0</v>
      </c>
      <c r="M148" s="120" t="s">
        <v>244</v>
      </c>
      <c r="N148" s="121" t="s">
        <v>244</v>
      </c>
      <c r="O148" s="122" t="s">
        <v>244</v>
      </c>
      <c r="P148" s="123" t="s">
        <v>244</v>
      </c>
      <c r="Q148" s="124"/>
      <c r="R148" s="135"/>
      <c r="S148" s="136"/>
      <c r="T148" s="137"/>
      <c r="U148" s="138" t="s">
        <v>244</v>
      </c>
      <c r="V148" s="138" t="s">
        <v>244</v>
      </c>
      <c r="W148" s="139" t="s">
        <v>244</v>
      </c>
      <c r="X148" s="139" t="s">
        <v>244</v>
      </c>
    </row>
    <row r="149" spans="2:24" s="49" customFormat="1" ht="15.75" x14ac:dyDescent="0.25">
      <c r="B149" s="133"/>
      <c r="C149" s="134"/>
      <c r="D149" s="113"/>
      <c r="E149" s="114"/>
      <c r="F149" s="173"/>
      <c r="G149" s="116" t="s">
        <v>244</v>
      </c>
      <c r="H149" s="116" t="s">
        <v>244</v>
      </c>
      <c r="I149" s="113"/>
      <c r="J149" s="117" t="s">
        <v>244</v>
      </c>
      <c r="K149" s="118"/>
      <c r="L149" s="119">
        <v>0</v>
      </c>
      <c r="M149" s="120" t="s">
        <v>244</v>
      </c>
      <c r="N149" s="121" t="s">
        <v>244</v>
      </c>
      <c r="O149" s="122" t="s">
        <v>244</v>
      </c>
      <c r="P149" s="123" t="s">
        <v>244</v>
      </c>
      <c r="Q149" s="124"/>
      <c r="R149" s="135"/>
      <c r="S149" s="136"/>
      <c r="T149" s="137"/>
      <c r="U149" s="138" t="s">
        <v>244</v>
      </c>
      <c r="V149" s="138" t="s">
        <v>244</v>
      </c>
      <c r="W149" s="139" t="s">
        <v>244</v>
      </c>
      <c r="X149" s="139" t="s">
        <v>244</v>
      </c>
    </row>
    <row r="150" spans="2:24" s="49" customFormat="1" ht="15.75" x14ac:dyDescent="0.25">
      <c r="B150" s="133"/>
      <c r="C150" s="134"/>
      <c r="D150" s="113"/>
      <c r="E150" s="114"/>
      <c r="F150" s="173"/>
      <c r="G150" s="116" t="s">
        <v>244</v>
      </c>
      <c r="H150" s="116" t="s">
        <v>244</v>
      </c>
      <c r="I150" s="113"/>
      <c r="J150" s="117" t="s">
        <v>244</v>
      </c>
      <c r="K150" s="118"/>
      <c r="L150" s="119">
        <v>0</v>
      </c>
      <c r="M150" s="120" t="s">
        <v>244</v>
      </c>
      <c r="N150" s="121" t="s">
        <v>244</v>
      </c>
      <c r="O150" s="122" t="s">
        <v>244</v>
      </c>
      <c r="P150" s="123" t="s">
        <v>244</v>
      </c>
      <c r="Q150" s="124"/>
      <c r="R150" s="135"/>
      <c r="S150" s="136"/>
      <c r="T150" s="137"/>
      <c r="U150" s="138" t="s">
        <v>244</v>
      </c>
      <c r="V150" s="138" t="s">
        <v>244</v>
      </c>
      <c r="W150" s="139" t="s">
        <v>244</v>
      </c>
      <c r="X150" s="139" t="s">
        <v>244</v>
      </c>
    </row>
    <row r="151" spans="2:24" s="49" customFormat="1" ht="15.75" x14ac:dyDescent="0.25">
      <c r="B151" s="133"/>
      <c r="C151" s="134"/>
      <c r="D151" s="113"/>
      <c r="E151" s="114"/>
      <c r="F151" s="173"/>
      <c r="G151" s="116" t="s">
        <v>244</v>
      </c>
      <c r="H151" s="116" t="s">
        <v>244</v>
      </c>
      <c r="I151" s="113"/>
      <c r="J151" s="117" t="s">
        <v>244</v>
      </c>
      <c r="K151" s="118"/>
      <c r="L151" s="119">
        <v>0</v>
      </c>
      <c r="M151" s="120" t="s">
        <v>244</v>
      </c>
      <c r="N151" s="121" t="s">
        <v>244</v>
      </c>
      <c r="O151" s="122" t="s">
        <v>244</v>
      </c>
      <c r="P151" s="123" t="s">
        <v>244</v>
      </c>
      <c r="Q151" s="124"/>
      <c r="R151" s="135"/>
      <c r="S151" s="136"/>
      <c r="T151" s="137"/>
      <c r="U151" s="138" t="s">
        <v>244</v>
      </c>
      <c r="V151" s="138" t="s">
        <v>244</v>
      </c>
      <c r="W151" s="139" t="s">
        <v>244</v>
      </c>
      <c r="X151" s="139" t="s">
        <v>244</v>
      </c>
    </row>
    <row r="152" spans="2:24" s="49" customFormat="1" ht="15.75" x14ac:dyDescent="0.25">
      <c r="B152" s="133"/>
      <c r="C152" s="134"/>
      <c r="D152" s="113"/>
      <c r="E152" s="114"/>
      <c r="F152" s="173"/>
      <c r="G152" s="116" t="s">
        <v>244</v>
      </c>
      <c r="H152" s="116" t="s">
        <v>244</v>
      </c>
      <c r="I152" s="113"/>
      <c r="J152" s="117" t="s">
        <v>244</v>
      </c>
      <c r="K152" s="118"/>
      <c r="L152" s="119">
        <v>0</v>
      </c>
      <c r="M152" s="120" t="s">
        <v>244</v>
      </c>
      <c r="N152" s="121" t="s">
        <v>244</v>
      </c>
      <c r="O152" s="122" t="s">
        <v>244</v>
      </c>
      <c r="P152" s="123" t="s">
        <v>244</v>
      </c>
      <c r="Q152" s="124"/>
      <c r="R152" s="135"/>
      <c r="S152" s="136"/>
      <c r="T152" s="137"/>
      <c r="U152" s="138" t="s">
        <v>244</v>
      </c>
      <c r="V152" s="138" t="s">
        <v>244</v>
      </c>
      <c r="W152" s="139" t="s">
        <v>244</v>
      </c>
      <c r="X152" s="139" t="s">
        <v>244</v>
      </c>
    </row>
    <row r="153" spans="2:24" s="49" customFormat="1" ht="15.75" x14ac:dyDescent="0.25">
      <c r="B153" s="133"/>
      <c r="C153" s="134"/>
      <c r="D153" s="113"/>
      <c r="E153" s="114"/>
      <c r="F153" s="173"/>
      <c r="G153" s="116" t="s">
        <v>244</v>
      </c>
      <c r="H153" s="116" t="s">
        <v>244</v>
      </c>
      <c r="I153" s="113"/>
      <c r="J153" s="117" t="s">
        <v>244</v>
      </c>
      <c r="K153" s="118"/>
      <c r="L153" s="119">
        <v>0</v>
      </c>
      <c r="M153" s="120" t="s">
        <v>244</v>
      </c>
      <c r="N153" s="121" t="s">
        <v>244</v>
      </c>
      <c r="O153" s="122" t="s">
        <v>244</v>
      </c>
      <c r="P153" s="123" t="s">
        <v>244</v>
      </c>
      <c r="Q153" s="124"/>
      <c r="R153" s="135"/>
      <c r="S153" s="136"/>
      <c r="T153" s="137"/>
      <c r="U153" s="138" t="s">
        <v>244</v>
      </c>
      <c r="V153" s="138" t="s">
        <v>244</v>
      </c>
      <c r="W153" s="139" t="s">
        <v>244</v>
      </c>
      <c r="X153" s="139" t="s">
        <v>244</v>
      </c>
    </row>
    <row r="154" spans="2:24" s="49" customFormat="1" ht="15.75" x14ac:dyDescent="0.25">
      <c r="B154" s="133"/>
      <c r="C154" s="134"/>
      <c r="D154" s="113"/>
      <c r="E154" s="114"/>
      <c r="F154" s="173"/>
      <c r="G154" s="116" t="s">
        <v>244</v>
      </c>
      <c r="H154" s="116" t="s">
        <v>244</v>
      </c>
      <c r="I154" s="113"/>
      <c r="J154" s="117" t="s">
        <v>244</v>
      </c>
      <c r="K154" s="118"/>
      <c r="L154" s="119">
        <v>0</v>
      </c>
      <c r="M154" s="120" t="s">
        <v>244</v>
      </c>
      <c r="N154" s="121" t="s">
        <v>244</v>
      </c>
      <c r="O154" s="122" t="s">
        <v>244</v>
      </c>
      <c r="P154" s="123" t="s">
        <v>244</v>
      </c>
      <c r="Q154" s="124"/>
      <c r="R154" s="135"/>
      <c r="S154" s="136"/>
      <c r="T154" s="137"/>
      <c r="U154" s="138" t="s">
        <v>244</v>
      </c>
      <c r="V154" s="138" t="s">
        <v>244</v>
      </c>
      <c r="W154" s="139" t="s">
        <v>244</v>
      </c>
      <c r="X154" s="139" t="s">
        <v>244</v>
      </c>
    </row>
    <row r="155" spans="2:24" s="49" customFormat="1" ht="15.75" x14ac:dyDescent="0.25">
      <c r="B155" s="133"/>
      <c r="C155" s="134"/>
      <c r="D155" s="113"/>
      <c r="E155" s="114"/>
      <c r="F155" s="173"/>
      <c r="G155" s="116" t="s">
        <v>244</v>
      </c>
      <c r="H155" s="116" t="s">
        <v>244</v>
      </c>
      <c r="I155" s="113"/>
      <c r="J155" s="117" t="s">
        <v>244</v>
      </c>
      <c r="K155" s="118"/>
      <c r="L155" s="119">
        <v>0</v>
      </c>
      <c r="M155" s="120" t="s">
        <v>244</v>
      </c>
      <c r="N155" s="121" t="s">
        <v>244</v>
      </c>
      <c r="O155" s="122" t="s">
        <v>244</v>
      </c>
      <c r="P155" s="123" t="s">
        <v>244</v>
      </c>
      <c r="Q155" s="124"/>
      <c r="R155" s="135"/>
      <c r="S155" s="136"/>
      <c r="T155" s="137"/>
      <c r="U155" s="138" t="s">
        <v>244</v>
      </c>
      <c r="V155" s="138" t="s">
        <v>244</v>
      </c>
      <c r="W155" s="139" t="s">
        <v>244</v>
      </c>
      <c r="X155" s="139" t="s">
        <v>244</v>
      </c>
    </row>
    <row r="156" spans="2:24" s="49" customFormat="1" ht="15.75" x14ac:dyDescent="0.25">
      <c r="B156" s="133"/>
      <c r="C156" s="134"/>
      <c r="D156" s="113"/>
      <c r="E156" s="114"/>
      <c r="F156" s="173"/>
      <c r="G156" s="116" t="s">
        <v>244</v>
      </c>
      <c r="H156" s="116" t="s">
        <v>244</v>
      </c>
      <c r="I156" s="113"/>
      <c r="J156" s="117" t="s">
        <v>244</v>
      </c>
      <c r="K156" s="118"/>
      <c r="L156" s="119">
        <v>0</v>
      </c>
      <c r="M156" s="120" t="s">
        <v>244</v>
      </c>
      <c r="N156" s="121" t="s">
        <v>244</v>
      </c>
      <c r="O156" s="122" t="s">
        <v>244</v>
      </c>
      <c r="P156" s="123" t="s">
        <v>244</v>
      </c>
      <c r="Q156" s="124"/>
      <c r="R156" s="135"/>
      <c r="S156" s="136"/>
      <c r="T156" s="137"/>
      <c r="U156" s="138" t="s">
        <v>244</v>
      </c>
      <c r="V156" s="138" t="s">
        <v>244</v>
      </c>
      <c r="W156" s="139" t="s">
        <v>244</v>
      </c>
      <c r="X156" s="139" t="s">
        <v>244</v>
      </c>
    </row>
    <row r="157" spans="2:24" s="49" customFormat="1" ht="15.75" x14ac:dyDescent="0.25">
      <c r="B157" s="133"/>
      <c r="C157" s="134"/>
      <c r="D157" s="113"/>
      <c r="E157" s="114"/>
      <c r="F157" s="173"/>
      <c r="G157" s="116" t="s">
        <v>244</v>
      </c>
      <c r="H157" s="116" t="s">
        <v>244</v>
      </c>
      <c r="I157" s="113"/>
      <c r="J157" s="117" t="s">
        <v>244</v>
      </c>
      <c r="K157" s="118"/>
      <c r="L157" s="119">
        <v>0</v>
      </c>
      <c r="M157" s="120" t="s">
        <v>244</v>
      </c>
      <c r="N157" s="121" t="s">
        <v>244</v>
      </c>
      <c r="O157" s="122" t="s">
        <v>244</v>
      </c>
      <c r="P157" s="123" t="s">
        <v>244</v>
      </c>
      <c r="Q157" s="124"/>
      <c r="R157" s="135"/>
      <c r="S157" s="136"/>
      <c r="T157" s="137"/>
      <c r="U157" s="138" t="s">
        <v>244</v>
      </c>
      <c r="V157" s="138" t="s">
        <v>244</v>
      </c>
      <c r="W157" s="139" t="s">
        <v>244</v>
      </c>
      <c r="X157" s="139" t="s">
        <v>244</v>
      </c>
    </row>
    <row r="158" spans="2:24" s="49" customFormat="1" ht="15.75" x14ac:dyDescent="0.25">
      <c r="B158" s="133"/>
      <c r="C158" s="134"/>
      <c r="D158" s="113"/>
      <c r="E158" s="114"/>
      <c r="F158" s="173"/>
      <c r="G158" s="116" t="s">
        <v>244</v>
      </c>
      <c r="H158" s="116" t="s">
        <v>244</v>
      </c>
      <c r="I158" s="113"/>
      <c r="J158" s="117" t="s">
        <v>244</v>
      </c>
      <c r="K158" s="118"/>
      <c r="L158" s="119">
        <v>0</v>
      </c>
      <c r="M158" s="120" t="s">
        <v>244</v>
      </c>
      <c r="N158" s="121" t="s">
        <v>244</v>
      </c>
      <c r="O158" s="122" t="s">
        <v>244</v>
      </c>
      <c r="P158" s="123" t="s">
        <v>244</v>
      </c>
      <c r="Q158" s="124"/>
      <c r="R158" s="135"/>
      <c r="S158" s="136"/>
      <c r="T158" s="137"/>
      <c r="U158" s="138" t="s">
        <v>244</v>
      </c>
      <c r="V158" s="138" t="s">
        <v>244</v>
      </c>
      <c r="W158" s="139" t="s">
        <v>244</v>
      </c>
      <c r="X158" s="139" t="s">
        <v>244</v>
      </c>
    </row>
    <row r="159" spans="2:24" s="49" customFormat="1" ht="15.75" x14ac:dyDescent="0.25">
      <c r="B159" s="133"/>
      <c r="C159" s="134"/>
      <c r="D159" s="113"/>
      <c r="E159" s="114"/>
      <c r="F159" s="173"/>
      <c r="G159" s="116" t="s">
        <v>244</v>
      </c>
      <c r="H159" s="116" t="s">
        <v>244</v>
      </c>
      <c r="I159" s="113"/>
      <c r="J159" s="117" t="s">
        <v>244</v>
      </c>
      <c r="K159" s="118"/>
      <c r="L159" s="119">
        <v>0</v>
      </c>
      <c r="M159" s="120" t="s">
        <v>244</v>
      </c>
      <c r="N159" s="121" t="s">
        <v>244</v>
      </c>
      <c r="O159" s="122" t="s">
        <v>244</v>
      </c>
      <c r="P159" s="123" t="s">
        <v>244</v>
      </c>
      <c r="Q159" s="124"/>
      <c r="R159" s="135"/>
      <c r="S159" s="136"/>
      <c r="T159" s="137"/>
      <c r="U159" s="138" t="s">
        <v>244</v>
      </c>
      <c r="V159" s="138" t="s">
        <v>244</v>
      </c>
      <c r="W159" s="139" t="s">
        <v>244</v>
      </c>
      <c r="X159" s="139" t="s">
        <v>244</v>
      </c>
    </row>
    <row r="160" spans="2:24" s="49" customFormat="1" ht="15.75" x14ac:dyDescent="0.25">
      <c r="B160" s="133"/>
      <c r="C160" s="134"/>
      <c r="D160" s="113"/>
      <c r="E160" s="114"/>
      <c r="F160" s="173"/>
      <c r="G160" s="116" t="s">
        <v>244</v>
      </c>
      <c r="H160" s="116" t="s">
        <v>244</v>
      </c>
      <c r="I160" s="113"/>
      <c r="J160" s="117" t="s">
        <v>244</v>
      </c>
      <c r="K160" s="118"/>
      <c r="L160" s="119">
        <v>0</v>
      </c>
      <c r="M160" s="120" t="s">
        <v>244</v>
      </c>
      <c r="N160" s="121" t="s">
        <v>244</v>
      </c>
      <c r="O160" s="122" t="s">
        <v>244</v>
      </c>
      <c r="P160" s="123" t="s">
        <v>244</v>
      </c>
      <c r="Q160" s="124"/>
      <c r="R160" s="135"/>
      <c r="S160" s="136"/>
      <c r="T160" s="137"/>
      <c r="U160" s="138" t="s">
        <v>244</v>
      </c>
      <c r="V160" s="138" t="s">
        <v>244</v>
      </c>
      <c r="W160" s="139" t="s">
        <v>244</v>
      </c>
      <c r="X160" s="139" t="s">
        <v>244</v>
      </c>
    </row>
    <row r="161" spans="2:24" s="49" customFormat="1" ht="15.75" x14ac:dyDescent="0.25">
      <c r="B161" s="133"/>
      <c r="C161" s="134"/>
      <c r="D161" s="113"/>
      <c r="E161" s="114"/>
      <c r="F161" s="173"/>
      <c r="G161" s="116" t="s">
        <v>244</v>
      </c>
      <c r="H161" s="116" t="s">
        <v>244</v>
      </c>
      <c r="I161" s="113"/>
      <c r="J161" s="117" t="s">
        <v>244</v>
      </c>
      <c r="K161" s="118"/>
      <c r="L161" s="119">
        <v>0</v>
      </c>
      <c r="M161" s="120" t="s">
        <v>244</v>
      </c>
      <c r="N161" s="121" t="s">
        <v>244</v>
      </c>
      <c r="O161" s="122" t="s">
        <v>244</v>
      </c>
      <c r="P161" s="123" t="s">
        <v>244</v>
      </c>
      <c r="Q161" s="124"/>
      <c r="R161" s="135"/>
      <c r="S161" s="136"/>
      <c r="T161" s="137"/>
      <c r="U161" s="138" t="s">
        <v>244</v>
      </c>
      <c r="V161" s="138" t="s">
        <v>244</v>
      </c>
      <c r="W161" s="139" t="s">
        <v>244</v>
      </c>
      <c r="X161" s="139" t="s">
        <v>244</v>
      </c>
    </row>
    <row r="162" spans="2:24" s="49" customFormat="1" ht="15.75" x14ac:dyDescent="0.25">
      <c r="B162" s="133"/>
      <c r="C162" s="134"/>
      <c r="D162" s="113"/>
      <c r="E162" s="114"/>
      <c r="F162" s="173"/>
      <c r="G162" s="116" t="s">
        <v>244</v>
      </c>
      <c r="H162" s="116" t="s">
        <v>244</v>
      </c>
      <c r="I162" s="113"/>
      <c r="J162" s="117" t="s">
        <v>244</v>
      </c>
      <c r="K162" s="118"/>
      <c r="L162" s="119">
        <v>0</v>
      </c>
      <c r="M162" s="120" t="s">
        <v>244</v>
      </c>
      <c r="N162" s="121" t="s">
        <v>244</v>
      </c>
      <c r="O162" s="122" t="s">
        <v>244</v>
      </c>
      <c r="P162" s="123" t="s">
        <v>244</v>
      </c>
      <c r="Q162" s="124"/>
      <c r="R162" s="135"/>
      <c r="S162" s="136"/>
      <c r="T162" s="137"/>
      <c r="U162" s="138" t="s">
        <v>244</v>
      </c>
      <c r="V162" s="138" t="s">
        <v>244</v>
      </c>
      <c r="W162" s="139" t="s">
        <v>244</v>
      </c>
      <c r="X162" s="139" t="s">
        <v>244</v>
      </c>
    </row>
    <row r="163" spans="2:24" s="49" customFormat="1" ht="15.75" x14ac:dyDescent="0.25">
      <c r="B163" s="133"/>
      <c r="C163" s="134"/>
      <c r="D163" s="113"/>
      <c r="E163" s="114"/>
      <c r="F163" s="173"/>
      <c r="G163" s="116" t="s">
        <v>244</v>
      </c>
      <c r="H163" s="116" t="s">
        <v>244</v>
      </c>
      <c r="I163" s="113"/>
      <c r="J163" s="117" t="s">
        <v>244</v>
      </c>
      <c r="K163" s="118"/>
      <c r="L163" s="119">
        <v>0</v>
      </c>
      <c r="M163" s="120" t="s">
        <v>244</v>
      </c>
      <c r="N163" s="121" t="s">
        <v>244</v>
      </c>
      <c r="O163" s="122" t="s">
        <v>244</v>
      </c>
      <c r="P163" s="123" t="s">
        <v>244</v>
      </c>
      <c r="Q163" s="124"/>
      <c r="R163" s="135"/>
      <c r="S163" s="136"/>
      <c r="T163" s="137"/>
      <c r="U163" s="138" t="s">
        <v>244</v>
      </c>
      <c r="V163" s="138" t="s">
        <v>244</v>
      </c>
      <c r="W163" s="139" t="s">
        <v>244</v>
      </c>
      <c r="X163" s="139" t="s">
        <v>244</v>
      </c>
    </row>
    <row r="164" spans="2:24" s="49" customFormat="1" ht="15.75" x14ac:dyDescent="0.25">
      <c r="B164" s="133"/>
      <c r="C164" s="134"/>
      <c r="D164" s="113"/>
      <c r="E164" s="114"/>
      <c r="F164" s="173"/>
      <c r="G164" s="116" t="s">
        <v>244</v>
      </c>
      <c r="H164" s="116" t="s">
        <v>244</v>
      </c>
      <c r="I164" s="113"/>
      <c r="J164" s="117" t="s">
        <v>244</v>
      </c>
      <c r="K164" s="118"/>
      <c r="L164" s="119">
        <v>0</v>
      </c>
      <c r="M164" s="120" t="s">
        <v>244</v>
      </c>
      <c r="N164" s="121" t="s">
        <v>244</v>
      </c>
      <c r="O164" s="122" t="s">
        <v>244</v>
      </c>
      <c r="P164" s="123" t="s">
        <v>244</v>
      </c>
      <c r="Q164" s="124"/>
      <c r="R164" s="135"/>
      <c r="S164" s="136"/>
      <c r="T164" s="137"/>
      <c r="U164" s="138" t="s">
        <v>244</v>
      </c>
      <c r="V164" s="138" t="s">
        <v>244</v>
      </c>
      <c r="W164" s="139" t="s">
        <v>244</v>
      </c>
      <c r="X164" s="139" t="s">
        <v>244</v>
      </c>
    </row>
    <row r="165" spans="2:24" s="49" customFormat="1" ht="15.75" x14ac:dyDescent="0.25">
      <c r="B165" s="133"/>
      <c r="C165" s="134"/>
      <c r="D165" s="113"/>
      <c r="E165" s="114"/>
      <c r="F165" s="173"/>
      <c r="G165" s="116" t="s">
        <v>244</v>
      </c>
      <c r="H165" s="116" t="s">
        <v>244</v>
      </c>
      <c r="I165" s="113"/>
      <c r="J165" s="117" t="s">
        <v>244</v>
      </c>
      <c r="K165" s="118"/>
      <c r="L165" s="119">
        <v>0</v>
      </c>
      <c r="M165" s="120" t="s">
        <v>244</v>
      </c>
      <c r="N165" s="121" t="s">
        <v>244</v>
      </c>
      <c r="O165" s="122" t="s">
        <v>244</v>
      </c>
      <c r="P165" s="123" t="s">
        <v>244</v>
      </c>
      <c r="Q165" s="124"/>
      <c r="R165" s="135"/>
      <c r="S165" s="136"/>
      <c r="T165" s="137"/>
      <c r="U165" s="138" t="s">
        <v>244</v>
      </c>
      <c r="V165" s="138" t="s">
        <v>244</v>
      </c>
      <c r="W165" s="139" t="s">
        <v>244</v>
      </c>
      <c r="X165" s="139" t="s">
        <v>244</v>
      </c>
    </row>
    <row r="166" spans="2:24" s="49" customFormat="1" ht="15.75" x14ac:dyDescent="0.25">
      <c r="B166" s="133"/>
      <c r="C166" s="134"/>
      <c r="D166" s="113"/>
      <c r="E166" s="114"/>
      <c r="F166" s="173"/>
      <c r="G166" s="116" t="s">
        <v>244</v>
      </c>
      <c r="H166" s="116" t="s">
        <v>244</v>
      </c>
      <c r="I166" s="113"/>
      <c r="J166" s="117" t="s">
        <v>244</v>
      </c>
      <c r="K166" s="118"/>
      <c r="L166" s="119">
        <v>0</v>
      </c>
      <c r="M166" s="120" t="s">
        <v>244</v>
      </c>
      <c r="N166" s="121" t="s">
        <v>244</v>
      </c>
      <c r="O166" s="122" t="s">
        <v>244</v>
      </c>
      <c r="P166" s="123" t="s">
        <v>244</v>
      </c>
      <c r="Q166" s="124"/>
      <c r="R166" s="135"/>
      <c r="S166" s="136"/>
      <c r="T166" s="137"/>
      <c r="U166" s="138" t="s">
        <v>244</v>
      </c>
      <c r="V166" s="138" t="s">
        <v>244</v>
      </c>
      <c r="W166" s="139" t="s">
        <v>244</v>
      </c>
      <c r="X166" s="139" t="s">
        <v>244</v>
      </c>
    </row>
    <row r="167" spans="2:24" s="49" customFormat="1" ht="15.75" x14ac:dyDescent="0.25">
      <c r="B167" s="133"/>
      <c r="C167" s="134"/>
      <c r="D167" s="113"/>
      <c r="E167" s="114"/>
      <c r="F167" s="173"/>
      <c r="G167" s="116" t="s">
        <v>244</v>
      </c>
      <c r="H167" s="116" t="s">
        <v>244</v>
      </c>
      <c r="I167" s="113"/>
      <c r="J167" s="117" t="s">
        <v>244</v>
      </c>
      <c r="K167" s="118"/>
      <c r="L167" s="119">
        <v>0</v>
      </c>
      <c r="M167" s="120" t="s">
        <v>244</v>
      </c>
      <c r="N167" s="121" t="s">
        <v>244</v>
      </c>
      <c r="O167" s="122" t="s">
        <v>244</v>
      </c>
      <c r="P167" s="123" t="s">
        <v>244</v>
      </c>
      <c r="Q167" s="124"/>
      <c r="R167" s="135"/>
      <c r="S167" s="136"/>
      <c r="T167" s="137"/>
      <c r="U167" s="138" t="s">
        <v>244</v>
      </c>
      <c r="V167" s="138" t="s">
        <v>244</v>
      </c>
      <c r="W167" s="139" t="s">
        <v>244</v>
      </c>
      <c r="X167" s="139" t="s">
        <v>244</v>
      </c>
    </row>
    <row r="168" spans="2:24" s="49" customFormat="1" ht="15.75" x14ac:dyDescent="0.25">
      <c r="B168" s="133"/>
      <c r="C168" s="134"/>
      <c r="D168" s="113"/>
      <c r="E168" s="114"/>
      <c r="F168" s="173"/>
      <c r="G168" s="116" t="s">
        <v>244</v>
      </c>
      <c r="H168" s="116" t="s">
        <v>244</v>
      </c>
      <c r="I168" s="113"/>
      <c r="J168" s="117" t="s">
        <v>244</v>
      </c>
      <c r="K168" s="118"/>
      <c r="L168" s="119">
        <v>0</v>
      </c>
      <c r="M168" s="120" t="s">
        <v>244</v>
      </c>
      <c r="N168" s="121" t="s">
        <v>244</v>
      </c>
      <c r="O168" s="122" t="s">
        <v>244</v>
      </c>
      <c r="P168" s="123" t="s">
        <v>244</v>
      </c>
      <c r="Q168" s="124"/>
      <c r="R168" s="135"/>
      <c r="S168" s="136"/>
      <c r="T168" s="137"/>
      <c r="U168" s="138" t="s">
        <v>244</v>
      </c>
      <c r="V168" s="138" t="s">
        <v>244</v>
      </c>
      <c r="W168" s="139" t="s">
        <v>244</v>
      </c>
      <c r="X168" s="139" t="s">
        <v>244</v>
      </c>
    </row>
    <row r="169" spans="2:24" s="49" customFormat="1" ht="15.75" x14ac:dyDescent="0.25">
      <c r="B169" s="133"/>
      <c r="C169" s="134"/>
      <c r="D169" s="113"/>
      <c r="E169" s="114"/>
      <c r="F169" s="173"/>
      <c r="G169" s="116" t="s">
        <v>244</v>
      </c>
      <c r="H169" s="116" t="s">
        <v>244</v>
      </c>
      <c r="I169" s="113"/>
      <c r="J169" s="117" t="s">
        <v>244</v>
      </c>
      <c r="K169" s="118"/>
      <c r="L169" s="119">
        <v>0</v>
      </c>
      <c r="M169" s="120" t="s">
        <v>244</v>
      </c>
      <c r="N169" s="121" t="s">
        <v>244</v>
      </c>
      <c r="O169" s="122" t="s">
        <v>244</v>
      </c>
      <c r="P169" s="123" t="s">
        <v>244</v>
      </c>
      <c r="Q169" s="124"/>
      <c r="R169" s="135"/>
      <c r="S169" s="136"/>
      <c r="T169" s="137"/>
      <c r="U169" s="138" t="s">
        <v>244</v>
      </c>
      <c r="V169" s="138" t="s">
        <v>244</v>
      </c>
      <c r="W169" s="139" t="s">
        <v>244</v>
      </c>
      <c r="X169" s="139" t="s">
        <v>244</v>
      </c>
    </row>
    <row r="170" spans="2:24" s="49" customFormat="1" ht="15.75" x14ac:dyDescent="0.25">
      <c r="B170" s="133"/>
      <c r="C170" s="134"/>
      <c r="D170" s="113"/>
      <c r="E170" s="114"/>
      <c r="F170" s="173"/>
      <c r="G170" s="116" t="s">
        <v>244</v>
      </c>
      <c r="H170" s="116" t="s">
        <v>244</v>
      </c>
      <c r="I170" s="113"/>
      <c r="J170" s="117" t="s">
        <v>244</v>
      </c>
      <c r="K170" s="118"/>
      <c r="L170" s="119">
        <v>0</v>
      </c>
      <c r="M170" s="120" t="s">
        <v>244</v>
      </c>
      <c r="N170" s="121" t="s">
        <v>244</v>
      </c>
      <c r="O170" s="122" t="s">
        <v>244</v>
      </c>
      <c r="P170" s="123" t="s">
        <v>244</v>
      </c>
      <c r="Q170" s="124"/>
      <c r="R170" s="135"/>
      <c r="S170" s="136"/>
      <c r="T170" s="137"/>
      <c r="U170" s="138" t="s">
        <v>244</v>
      </c>
      <c r="V170" s="138" t="s">
        <v>244</v>
      </c>
      <c r="W170" s="139" t="s">
        <v>244</v>
      </c>
      <c r="X170" s="139" t="s">
        <v>244</v>
      </c>
    </row>
    <row r="171" spans="2:24" s="49" customFormat="1" ht="15.75" x14ac:dyDescent="0.25">
      <c r="B171" s="133"/>
      <c r="C171" s="134"/>
      <c r="D171" s="113"/>
      <c r="E171" s="114"/>
      <c r="F171" s="173"/>
      <c r="G171" s="116" t="s">
        <v>244</v>
      </c>
      <c r="H171" s="116" t="s">
        <v>244</v>
      </c>
      <c r="I171" s="113"/>
      <c r="J171" s="117" t="s">
        <v>244</v>
      </c>
      <c r="K171" s="118"/>
      <c r="L171" s="119">
        <v>0</v>
      </c>
      <c r="M171" s="120" t="s">
        <v>244</v>
      </c>
      <c r="N171" s="121" t="s">
        <v>244</v>
      </c>
      <c r="O171" s="122" t="s">
        <v>244</v>
      </c>
      <c r="P171" s="123" t="s">
        <v>244</v>
      </c>
      <c r="Q171" s="124"/>
      <c r="R171" s="135"/>
      <c r="S171" s="136"/>
      <c r="T171" s="137"/>
      <c r="U171" s="138" t="s">
        <v>244</v>
      </c>
      <c r="V171" s="138" t="s">
        <v>244</v>
      </c>
      <c r="W171" s="139" t="s">
        <v>244</v>
      </c>
      <c r="X171" s="139" t="s">
        <v>244</v>
      </c>
    </row>
    <row r="172" spans="2:24" s="49" customFormat="1" ht="15.75" x14ac:dyDescent="0.25">
      <c r="B172" s="133"/>
      <c r="C172" s="134"/>
      <c r="D172" s="113"/>
      <c r="E172" s="114"/>
      <c r="F172" s="173"/>
      <c r="G172" s="116" t="s">
        <v>244</v>
      </c>
      <c r="H172" s="116" t="s">
        <v>244</v>
      </c>
      <c r="I172" s="113"/>
      <c r="J172" s="117" t="s">
        <v>244</v>
      </c>
      <c r="K172" s="118"/>
      <c r="L172" s="119">
        <v>0</v>
      </c>
      <c r="M172" s="120" t="s">
        <v>244</v>
      </c>
      <c r="N172" s="121" t="s">
        <v>244</v>
      </c>
      <c r="O172" s="122" t="s">
        <v>244</v>
      </c>
      <c r="P172" s="123" t="s">
        <v>244</v>
      </c>
      <c r="Q172" s="124"/>
      <c r="R172" s="135"/>
      <c r="S172" s="136"/>
      <c r="T172" s="137"/>
      <c r="U172" s="138" t="s">
        <v>244</v>
      </c>
      <c r="V172" s="138" t="s">
        <v>244</v>
      </c>
      <c r="W172" s="139" t="s">
        <v>244</v>
      </c>
      <c r="X172" s="139" t="s">
        <v>244</v>
      </c>
    </row>
    <row r="173" spans="2:24" s="49" customFormat="1" ht="15.75" x14ac:dyDescent="0.25">
      <c r="B173" s="133"/>
      <c r="C173" s="134"/>
      <c r="D173" s="113"/>
      <c r="E173" s="114"/>
      <c r="F173" s="173"/>
      <c r="G173" s="116" t="s">
        <v>244</v>
      </c>
      <c r="H173" s="116" t="s">
        <v>244</v>
      </c>
      <c r="I173" s="113"/>
      <c r="J173" s="117" t="s">
        <v>244</v>
      </c>
      <c r="K173" s="118"/>
      <c r="L173" s="119">
        <v>0</v>
      </c>
      <c r="M173" s="120" t="s">
        <v>244</v>
      </c>
      <c r="N173" s="121" t="s">
        <v>244</v>
      </c>
      <c r="O173" s="122" t="s">
        <v>244</v>
      </c>
      <c r="P173" s="123" t="s">
        <v>244</v>
      </c>
      <c r="Q173" s="124"/>
      <c r="R173" s="135"/>
      <c r="S173" s="136"/>
      <c r="T173" s="137"/>
      <c r="U173" s="138" t="s">
        <v>244</v>
      </c>
      <c r="V173" s="138" t="s">
        <v>244</v>
      </c>
      <c r="W173" s="139" t="s">
        <v>244</v>
      </c>
      <c r="X173" s="139" t="s">
        <v>244</v>
      </c>
    </row>
    <row r="174" spans="2:24" s="49" customFormat="1" ht="15.75" x14ac:dyDescent="0.25">
      <c r="B174" s="133"/>
      <c r="C174" s="134"/>
      <c r="D174" s="113"/>
      <c r="E174" s="114"/>
      <c r="F174" s="173"/>
      <c r="G174" s="116" t="s">
        <v>244</v>
      </c>
      <c r="H174" s="116" t="s">
        <v>244</v>
      </c>
      <c r="I174" s="113"/>
      <c r="J174" s="117" t="s">
        <v>244</v>
      </c>
      <c r="K174" s="118"/>
      <c r="L174" s="119">
        <v>0</v>
      </c>
      <c r="M174" s="120" t="s">
        <v>244</v>
      </c>
      <c r="N174" s="121" t="s">
        <v>244</v>
      </c>
      <c r="O174" s="122" t="s">
        <v>244</v>
      </c>
      <c r="P174" s="123" t="s">
        <v>244</v>
      </c>
      <c r="Q174" s="124"/>
      <c r="R174" s="135"/>
      <c r="S174" s="136"/>
      <c r="T174" s="137"/>
      <c r="U174" s="138" t="s">
        <v>244</v>
      </c>
      <c r="V174" s="138" t="s">
        <v>244</v>
      </c>
      <c r="W174" s="139" t="s">
        <v>244</v>
      </c>
      <c r="X174" s="139" t="s">
        <v>244</v>
      </c>
    </row>
    <row r="175" spans="2:24" s="49" customFormat="1" ht="15.75" x14ac:dyDescent="0.25">
      <c r="B175" s="133"/>
      <c r="C175" s="134"/>
      <c r="D175" s="113"/>
      <c r="E175" s="114"/>
      <c r="F175" s="173"/>
      <c r="G175" s="116" t="s">
        <v>244</v>
      </c>
      <c r="H175" s="116" t="s">
        <v>244</v>
      </c>
      <c r="I175" s="113"/>
      <c r="J175" s="117" t="s">
        <v>244</v>
      </c>
      <c r="K175" s="118"/>
      <c r="L175" s="119">
        <v>0</v>
      </c>
      <c r="M175" s="120" t="s">
        <v>244</v>
      </c>
      <c r="N175" s="121" t="s">
        <v>244</v>
      </c>
      <c r="O175" s="122" t="s">
        <v>244</v>
      </c>
      <c r="P175" s="123" t="s">
        <v>244</v>
      </c>
      <c r="Q175" s="124"/>
      <c r="R175" s="135"/>
      <c r="S175" s="136"/>
      <c r="T175" s="137"/>
      <c r="U175" s="138" t="s">
        <v>244</v>
      </c>
      <c r="V175" s="138" t="s">
        <v>244</v>
      </c>
      <c r="W175" s="139" t="s">
        <v>244</v>
      </c>
      <c r="X175" s="139" t="s">
        <v>244</v>
      </c>
    </row>
    <row r="176" spans="2:24" s="49" customFormat="1" ht="15.75" x14ac:dyDescent="0.25">
      <c r="B176" s="133"/>
      <c r="C176" s="134"/>
      <c r="D176" s="113"/>
      <c r="E176" s="114"/>
      <c r="F176" s="173"/>
      <c r="G176" s="116" t="s">
        <v>244</v>
      </c>
      <c r="H176" s="116" t="s">
        <v>244</v>
      </c>
      <c r="I176" s="113"/>
      <c r="J176" s="117" t="s">
        <v>244</v>
      </c>
      <c r="K176" s="118"/>
      <c r="L176" s="119">
        <v>0</v>
      </c>
      <c r="M176" s="120" t="s">
        <v>244</v>
      </c>
      <c r="N176" s="121" t="s">
        <v>244</v>
      </c>
      <c r="O176" s="122" t="s">
        <v>244</v>
      </c>
      <c r="P176" s="123" t="s">
        <v>244</v>
      </c>
      <c r="Q176" s="124"/>
      <c r="R176" s="135"/>
      <c r="S176" s="136"/>
      <c r="T176" s="137"/>
      <c r="U176" s="138" t="s">
        <v>244</v>
      </c>
      <c r="V176" s="138" t="s">
        <v>244</v>
      </c>
      <c r="W176" s="139" t="s">
        <v>244</v>
      </c>
      <c r="X176" s="139" t="s">
        <v>244</v>
      </c>
    </row>
    <row r="177" spans="2:25" s="49" customFormat="1" ht="15.75" x14ac:dyDescent="0.25">
      <c r="B177" s="133"/>
      <c r="C177" s="134"/>
      <c r="D177" s="113"/>
      <c r="E177" s="114"/>
      <c r="F177" s="173"/>
      <c r="G177" s="116" t="s">
        <v>244</v>
      </c>
      <c r="H177" s="116" t="s">
        <v>244</v>
      </c>
      <c r="I177" s="113"/>
      <c r="J177" s="117" t="s">
        <v>244</v>
      </c>
      <c r="K177" s="118"/>
      <c r="L177" s="119">
        <v>0</v>
      </c>
      <c r="M177" s="120" t="s">
        <v>244</v>
      </c>
      <c r="N177" s="121" t="s">
        <v>244</v>
      </c>
      <c r="O177" s="122" t="s">
        <v>244</v>
      </c>
      <c r="P177" s="123" t="s">
        <v>244</v>
      </c>
      <c r="Q177" s="124"/>
      <c r="R177" s="135"/>
      <c r="S177" s="136"/>
      <c r="T177" s="137"/>
      <c r="U177" s="138" t="s">
        <v>244</v>
      </c>
      <c r="V177" s="138" t="s">
        <v>244</v>
      </c>
      <c r="W177" s="139" t="s">
        <v>244</v>
      </c>
      <c r="X177" s="139" t="s">
        <v>244</v>
      </c>
      <c r="Y177" s="54"/>
    </row>
    <row r="178" spans="2:25" s="49" customFormat="1" ht="15.75" x14ac:dyDescent="0.25">
      <c r="B178" s="133"/>
      <c r="C178" s="134"/>
      <c r="D178" s="113"/>
      <c r="E178" s="114"/>
      <c r="F178" s="173"/>
      <c r="G178" s="116" t="s">
        <v>244</v>
      </c>
      <c r="H178" s="116" t="s">
        <v>244</v>
      </c>
      <c r="I178" s="113"/>
      <c r="J178" s="117" t="s">
        <v>244</v>
      </c>
      <c r="K178" s="118"/>
      <c r="L178" s="119">
        <v>0</v>
      </c>
      <c r="M178" s="120" t="s">
        <v>244</v>
      </c>
      <c r="N178" s="121" t="s">
        <v>244</v>
      </c>
      <c r="O178" s="122" t="s">
        <v>244</v>
      </c>
      <c r="P178" s="123" t="s">
        <v>244</v>
      </c>
      <c r="Q178" s="124"/>
      <c r="R178" s="135"/>
      <c r="S178" s="136"/>
      <c r="T178" s="137"/>
      <c r="U178" s="138" t="s">
        <v>244</v>
      </c>
      <c r="V178" s="138" t="s">
        <v>244</v>
      </c>
      <c r="W178" s="139" t="s">
        <v>244</v>
      </c>
      <c r="X178" s="139" t="s">
        <v>244</v>
      </c>
      <c r="Y178" s="54">
        <v>0</v>
      </c>
    </row>
    <row r="179" spans="2:25" s="49" customFormat="1" ht="15.75" x14ac:dyDescent="0.25">
      <c r="B179" s="133"/>
      <c r="C179" s="134"/>
      <c r="D179" s="113"/>
      <c r="E179" s="114"/>
      <c r="F179" s="173"/>
      <c r="G179" s="116" t="s">
        <v>244</v>
      </c>
      <c r="H179" s="116" t="s">
        <v>244</v>
      </c>
      <c r="I179" s="113"/>
      <c r="J179" s="117" t="s">
        <v>244</v>
      </c>
      <c r="K179" s="118"/>
      <c r="L179" s="119">
        <v>0</v>
      </c>
      <c r="M179" s="120" t="s">
        <v>244</v>
      </c>
      <c r="N179" s="121" t="s">
        <v>244</v>
      </c>
      <c r="O179" s="122" t="s">
        <v>244</v>
      </c>
      <c r="P179" s="123" t="s">
        <v>244</v>
      </c>
      <c r="Q179" s="124"/>
      <c r="R179" s="135"/>
      <c r="S179" s="136"/>
      <c r="T179" s="137"/>
      <c r="U179" s="138" t="s">
        <v>244</v>
      </c>
      <c r="V179" s="138" t="s">
        <v>244</v>
      </c>
      <c r="W179" s="139" t="s">
        <v>244</v>
      </c>
      <c r="X179" s="139" t="s">
        <v>244</v>
      </c>
      <c r="Y179" s="54">
        <v>0</v>
      </c>
    </row>
    <row r="180" spans="2:25" s="49" customFormat="1" ht="15.75" x14ac:dyDescent="0.25">
      <c r="B180" s="133"/>
      <c r="C180" s="134"/>
      <c r="D180" s="113"/>
      <c r="E180" s="114"/>
      <c r="F180" s="173"/>
      <c r="G180" s="116" t="s">
        <v>244</v>
      </c>
      <c r="H180" s="116" t="s">
        <v>244</v>
      </c>
      <c r="I180" s="113"/>
      <c r="J180" s="117" t="s">
        <v>244</v>
      </c>
      <c r="K180" s="118"/>
      <c r="L180" s="119">
        <v>0</v>
      </c>
      <c r="M180" s="120" t="s">
        <v>244</v>
      </c>
      <c r="N180" s="121" t="s">
        <v>244</v>
      </c>
      <c r="O180" s="122" t="s">
        <v>244</v>
      </c>
      <c r="P180" s="123" t="s">
        <v>244</v>
      </c>
      <c r="Q180" s="124"/>
      <c r="R180" s="135"/>
      <c r="S180" s="136"/>
      <c r="T180" s="137"/>
      <c r="U180" s="138" t="s">
        <v>244</v>
      </c>
      <c r="V180" s="138" t="s">
        <v>244</v>
      </c>
      <c r="W180" s="139" t="s">
        <v>244</v>
      </c>
      <c r="X180" s="139" t="s">
        <v>244</v>
      </c>
      <c r="Y180" s="54">
        <v>0</v>
      </c>
    </row>
    <row r="181" spans="2:25" s="49" customFormat="1" ht="15.75" x14ac:dyDescent="0.25">
      <c r="B181" s="133"/>
      <c r="C181" s="134"/>
      <c r="D181" s="113"/>
      <c r="E181" s="114"/>
      <c r="F181" s="173"/>
      <c r="G181" s="116" t="s">
        <v>244</v>
      </c>
      <c r="H181" s="116" t="s">
        <v>244</v>
      </c>
      <c r="I181" s="113"/>
      <c r="J181" s="117" t="s">
        <v>244</v>
      </c>
      <c r="K181" s="118"/>
      <c r="L181" s="119">
        <v>0</v>
      </c>
      <c r="M181" s="120" t="s">
        <v>244</v>
      </c>
      <c r="N181" s="121" t="s">
        <v>244</v>
      </c>
      <c r="O181" s="122" t="s">
        <v>244</v>
      </c>
      <c r="P181" s="123" t="s">
        <v>244</v>
      </c>
      <c r="Q181" s="124"/>
      <c r="R181" s="135"/>
      <c r="S181" s="136"/>
      <c r="T181" s="137"/>
      <c r="U181" s="138" t="s">
        <v>244</v>
      </c>
      <c r="V181" s="138" t="s">
        <v>244</v>
      </c>
      <c r="W181" s="139" t="s">
        <v>244</v>
      </c>
      <c r="X181" s="139" t="s">
        <v>244</v>
      </c>
      <c r="Y181" s="54">
        <v>0</v>
      </c>
    </row>
    <row r="182" spans="2:25" s="49" customFormat="1" ht="15.75" x14ac:dyDescent="0.25">
      <c r="B182" s="133"/>
      <c r="C182" s="134"/>
      <c r="D182" s="113"/>
      <c r="E182" s="114"/>
      <c r="F182" s="173"/>
      <c r="G182" s="116" t="s">
        <v>244</v>
      </c>
      <c r="H182" s="116" t="s">
        <v>244</v>
      </c>
      <c r="I182" s="113"/>
      <c r="J182" s="117" t="s">
        <v>244</v>
      </c>
      <c r="K182" s="118"/>
      <c r="L182" s="119">
        <v>0</v>
      </c>
      <c r="M182" s="120" t="s">
        <v>244</v>
      </c>
      <c r="N182" s="121" t="s">
        <v>244</v>
      </c>
      <c r="O182" s="122" t="s">
        <v>244</v>
      </c>
      <c r="P182" s="123" t="s">
        <v>244</v>
      </c>
      <c r="Q182" s="124"/>
      <c r="R182" s="135"/>
      <c r="S182" s="136"/>
      <c r="T182" s="137"/>
      <c r="U182" s="138" t="s">
        <v>244</v>
      </c>
      <c r="V182" s="138" t="s">
        <v>244</v>
      </c>
      <c r="W182" s="139" t="s">
        <v>244</v>
      </c>
      <c r="X182" s="139" t="s">
        <v>244</v>
      </c>
      <c r="Y182" s="54">
        <v>0</v>
      </c>
    </row>
    <row r="183" spans="2:25" s="49" customFormat="1" ht="15.75" x14ac:dyDescent="0.25">
      <c r="B183" s="133"/>
      <c r="C183" s="134"/>
      <c r="D183" s="113"/>
      <c r="E183" s="114"/>
      <c r="F183" s="173"/>
      <c r="G183" s="116" t="s">
        <v>244</v>
      </c>
      <c r="H183" s="116" t="s">
        <v>244</v>
      </c>
      <c r="I183" s="113"/>
      <c r="J183" s="117" t="s">
        <v>244</v>
      </c>
      <c r="K183" s="118"/>
      <c r="L183" s="119">
        <v>0</v>
      </c>
      <c r="M183" s="120" t="s">
        <v>244</v>
      </c>
      <c r="N183" s="121" t="s">
        <v>244</v>
      </c>
      <c r="O183" s="122" t="s">
        <v>244</v>
      </c>
      <c r="P183" s="123" t="s">
        <v>244</v>
      </c>
      <c r="Q183" s="124"/>
      <c r="R183" s="135"/>
      <c r="S183" s="136"/>
      <c r="T183" s="137"/>
      <c r="U183" s="138" t="s">
        <v>244</v>
      </c>
      <c r="V183" s="138" t="s">
        <v>244</v>
      </c>
      <c r="W183" s="139" t="s">
        <v>244</v>
      </c>
      <c r="X183" s="139" t="s">
        <v>244</v>
      </c>
      <c r="Y183" s="54">
        <v>0</v>
      </c>
    </row>
    <row r="184" spans="2:25" s="49" customFormat="1" ht="15.75" x14ac:dyDescent="0.25">
      <c r="B184" s="133"/>
      <c r="C184" s="134"/>
      <c r="D184" s="113"/>
      <c r="E184" s="114"/>
      <c r="F184" s="173"/>
      <c r="G184" s="116" t="s">
        <v>244</v>
      </c>
      <c r="H184" s="116" t="s">
        <v>244</v>
      </c>
      <c r="I184" s="113"/>
      <c r="J184" s="117" t="s">
        <v>244</v>
      </c>
      <c r="K184" s="118"/>
      <c r="L184" s="119">
        <v>0</v>
      </c>
      <c r="M184" s="120" t="s">
        <v>244</v>
      </c>
      <c r="N184" s="121" t="s">
        <v>244</v>
      </c>
      <c r="O184" s="122" t="s">
        <v>244</v>
      </c>
      <c r="P184" s="123" t="s">
        <v>244</v>
      </c>
      <c r="Q184" s="124"/>
      <c r="R184" s="135"/>
      <c r="S184" s="136"/>
      <c r="T184" s="137"/>
      <c r="U184" s="138" t="s">
        <v>244</v>
      </c>
      <c r="V184" s="138" t="s">
        <v>244</v>
      </c>
      <c r="W184" s="139" t="s">
        <v>244</v>
      </c>
      <c r="X184" s="139" t="s">
        <v>244</v>
      </c>
      <c r="Y184" s="54">
        <v>0</v>
      </c>
    </row>
    <row r="185" spans="2:25" s="49" customFormat="1" ht="15.75" x14ac:dyDescent="0.25">
      <c r="B185" s="133"/>
      <c r="C185" s="134"/>
      <c r="D185" s="113"/>
      <c r="E185" s="114"/>
      <c r="F185" s="173"/>
      <c r="G185" s="116" t="s">
        <v>244</v>
      </c>
      <c r="H185" s="116" t="s">
        <v>244</v>
      </c>
      <c r="I185" s="113"/>
      <c r="J185" s="117" t="s">
        <v>244</v>
      </c>
      <c r="K185" s="118"/>
      <c r="L185" s="119">
        <v>0</v>
      </c>
      <c r="M185" s="120" t="s">
        <v>244</v>
      </c>
      <c r="N185" s="121" t="s">
        <v>244</v>
      </c>
      <c r="O185" s="122" t="s">
        <v>244</v>
      </c>
      <c r="P185" s="123" t="s">
        <v>244</v>
      </c>
      <c r="Q185" s="124"/>
      <c r="R185" s="135"/>
      <c r="S185" s="136"/>
      <c r="T185" s="137"/>
      <c r="U185" s="138" t="s">
        <v>244</v>
      </c>
      <c r="V185" s="138" t="s">
        <v>244</v>
      </c>
      <c r="W185" s="139" t="s">
        <v>244</v>
      </c>
      <c r="X185" s="139" t="s">
        <v>244</v>
      </c>
      <c r="Y185" s="54">
        <v>0</v>
      </c>
    </row>
    <row r="186" spans="2:25" s="49" customFormat="1" ht="15.75" x14ac:dyDescent="0.25">
      <c r="B186" s="133"/>
      <c r="C186" s="134"/>
      <c r="D186" s="113"/>
      <c r="E186" s="114"/>
      <c r="F186" s="173"/>
      <c r="G186" s="116" t="s">
        <v>244</v>
      </c>
      <c r="H186" s="116" t="s">
        <v>244</v>
      </c>
      <c r="I186" s="113"/>
      <c r="J186" s="117" t="s">
        <v>244</v>
      </c>
      <c r="K186" s="118"/>
      <c r="L186" s="119">
        <v>0</v>
      </c>
      <c r="M186" s="120" t="s">
        <v>244</v>
      </c>
      <c r="N186" s="121" t="s">
        <v>244</v>
      </c>
      <c r="O186" s="122" t="s">
        <v>244</v>
      </c>
      <c r="P186" s="123" t="s">
        <v>244</v>
      </c>
      <c r="Q186" s="124"/>
      <c r="R186" s="135"/>
      <c r="S186" s="136"/>
      <c r="T186" s="137"/>
      <c r="U186" s="138" t="s">
        <v>244</v>
      </c>
      <c r="V186" s="138" t="s">
        <v>244</v>
      </c>
      <c r="W186" s="139" t="s">
        <v>244</v>
      </c>
      <c r="X186" s="139" t="s">
        <v>244</v>
      </c>
      <c r="Y186" s="54">
        <v>0</v>
      </c>
    </row>
    <row r="187" spans="2:25" s="49" customFormat="1" ht="15.75" x14ac:dyDescent="0.25">
      <c r="B187" s="133"/>
      <c r="C187" s="134"/>
      <c r="D187" s="113"/>
      <c r="E187" s="114"/>
      <c r="F187" s="173"/>
      <c r="G187" s="116" t="s">
        <v>244</v>
      </c>
      <c r="H187" s="116" t="s">
        <v>244</v>
      </c>
      <c r="I187" s="113"/>
      <c r="J187" s="117" t="s">
        <v>244</v>
      </c>
      <c r="K187" s="118"/>
      <c r="L187" s="119">
        <v>0</v>
      </c>
      <c r="M187" s="120" t="s">
        <v>244</v>
      </c>
      <c r="N187" s="121" t="s">
        <v>244</v>
      </c>
      <c r="O187" s="122" t="s">
        <v>244</v>
      </c>
      <c r="P187" s="123" t="s">
        <v>244</v>
      </c>
      <c r="Q187" s="124"/>
      <c r="R187" s="135"/>
      <c r="S187" s="136"/>
      <c r="T187" s="137"/>
      <c r="U187" s="138" t="s">
        <v>244</v>
      </c>
      <c r="V187" s="138" t="s">
        <v>244</v>
      </c>
      <c r="W187" s="139" t="s">
        <v>244</v>
      </c>
      <c r="X187" s="139" t="s">
        <v>244</v>
      </c>
      <c r="Y187" s="54">
        <v>0</v>
      </c>
    </row>
    <row r="188" spans="2:25" s="49" customFormat="1" ht="15.75" x14ac:dyDescent="0.25">
      <c r="B188" s="133"/>
      <c r="C188" s="134"/>
      <c r="D188" s="113"/>
      <c r="E188" s="114"/>
      <c r="F188" s="173"/>
      <c r="G188" s="116" t="s">
        <v>244</v>
      </c>
      <c r="H188" s="116" t="s">
        <v>244</v>
      </c>
      <c r="I188" s="113"/>
      <c r="J188" s="117" t="s">
        <v>244</v>
      </c>
      <c r="K188" s="118"/>
      <c r="L188" s="119">
        <v>0</v>
      </c>
      <c r="M188" s="120" t="s">
        <v>244</v>
      </c>
      <c r="N188" s="121" t="s">
        <v>244</v>
      </c>
      <c r="O188" s="122" t="s">
        <v>244</v>
      </c>
      <c r="P188" s="123" t="s">
        <v>244</v>
      </c>
      <c r="Q188" s="124"/>
      <c r="R188" s="135"/>
      <c r="S188" s="136"/>
      <c r="T188" s="137"/>
      <c r="U188" s="138" t="s">
        <v>244</v>
      </c>
      <c r="V188" s="138" t="s">
        <v>244</v>
      </c>
      <c r="W188" s="139" t="s">
        <v>244</v>
      </c>
      <c r="X188" s="139" t="s">
        <v>244</v>
      </c>
      <c r="Y188" s="54">
        <v>0</v>
      </c>
    </row>
    <row r="189" spans="2:25" s="49" customFormat="1" ht="15.75" x14ac:dyDescent="0.25">
      <c r="B189" s="133"/>
      <c r="C189" s="134"/>
      <c r="D189" s="113"/>
      <c r="E189" s="114"/>
      <c r="F189" s="173"/>
      <c r="G189" s="116" t="s">
        <v>244</v>
      </c>
      <c r="H189" s="116" t="s">
        <v>244</v>
      </c>
      <c r="I189" s="113"/>
      <c r="J189" s="117" t="s">
        <v>244</v>
      </c>
      <c r="K189" s="118"/>
      <c r="L189" s="119">
        <v>0</v>
      </c>
      <c r="M189" s="120" t="s">
        <v>244</v>
      </c>
      <c r="N189" s="121" t="s">
        <v>244</v>
      </c>
      <c r="O189" s="122" t="s">
        <v>244</v>
      </c>
      <c r="P189" s="123" t="s">
        <v>244</v>
      </c>
      <c r="Q189" s="124"/>
      <c r="R189" s="135"/>
      <c r="S189" s="136"/>
      <c r="T189" s="137"/>
      <c r="U189" s="138" t="s">
        <v>244</v>
      </c>
      <c r="V189" s="138" t="s">
        <v>244</v>
      </c>
      <c r="W189" s="139" t="s">
        <v>244</v>
      </c>
      <c r="X189" s="139" t="s">
        <v>244</v>
      </c>
      <c r="Y189" s="54">
        <v>0</v>
      </c>
    </row>
    <row r="190" spans="2:25" s="49" customFormat="1" ht="15.75" x14ac:dyDescent="0.25">
      <c r="B190" s="133"/>
      <c r="C190" s="134"/>
      <c r="D190" s="113"/>
      <c r="E190" s="114"/>
      <c r="F190" s="173"/>
      <c r="G190" s="116" t="s">
        <v>244</v>
      </c>
      <c r="H190" s="116" t="s">
        <v>244</v>
      </c>
      <c r="I190" s="113"/>
      <c r="J190" s="117" t="s">
        <v>244</v>
      </c>
      <c r="K190" s="118"/>
      <c r="L190" s="119">
        <v>0</v>
      </c>
      <c r="M190" s="120" t="s">
        <v>244</v>
      </c>
      <c r="N190" s="121" t="s">
        <v>244</v>
      </c>
      <c r="O190" s="122" t="s">
        <v>244</v>
      </c>
      <c r="P190" s="123" t="s">
        <v>244</v>
      </c>
      <c r="Q190" s="124"/>
      <c r="R190" s="135"/>
      <c r="S190" s="136"/>
      <c r="T190" s="137"/>
      <c r="U190" s="138" t="s">
        <v>244</v>
      </c>
      <c r="V190" s="138" t="s">
        <v>244</v>
      </c>
      <c r="W190" s="139" t="s">
        <v>244</v>
      </c>
      <c r="X190" s="139" t="s">
        <v>244</v>
      </c>
      <c r="Y190" s="54">
        <v>0</v>
      </c>
    </row>
    <row r="191" spans="2:25" s="49" customFormat="1" ht="15.75" x14ac:dyDescent="0.25">
      <c r="B191" s="133"/>
      <c r="C191" s="134"/>
      <c r="D191" s="113"/>
      <c r="E191" s="114"/>
      <c r="F191" s="173"/>
      <c r="G191" s="116" t="s">
        <v>244</v>
      </c>
      <c r="H191" s="116" t="s">
        <v>244</v>
      </c>
      <c r="I191" s="113"/>
      <c r="J191" s="117" t="s">
        <v>244</v>
      </c>
      <c r="K191" s="118"/>
      <c r="L191" s="119">
        <v>0</v>
      </c>
      <c r="M191" s="120" t="s">
        <v>244</v>
      </c>
      <c r="N191" s="121" t="s">
        <v>244</v>
      </c>
      <c r="O191" s="122" t="s">
        <v>244</v>
      </c>
      <c r="P191" s="123" t="s">
        <v>244</v>
      </c>
      <c r="Q191" s="124"/>
      <c r="R191" s="135"/>
      <c r="S191" s="136"/>
      <c r="T191" s="137"/>
      <c r="U191" s="138" t="s">
        <v>244</v>
      </c>
      <c r="V191" s="138" t="s">
        <v>244</v>
      </c>
      <c r="W191" s="139" t="s">
        <v>244</v>
      </c>
      <c r="X191" s="139" t="s">
        <v>244</v>
      </c>
      <c r="Y191" s="54">
        <v>0</v>
      </c>
    </row>
    <row r="192" spans="2:25" s="49" customFormat="1" ht="15.75" x14ac:dyDescent="0.25">
      <c r="B192" s="133"/>
      <c r="C192" s="134"/>
      <c r="D192" s="113"/>
      <c r="E192" s="114"/>
      <c r="F192" s="173"/>
      <c r="G192" s="116" t="s">
        <v>244</v>
      </c>
      <c r="H192" s="116" t="s">
        <v>244</v>
      </c>
      <c r="I192" s="113"/>
      <c r="J192" s="117" t="s">
        <v>244</v>
      </c>
      <c r="K192" s="118"/>
      <c r="L192" s="119">
        <v>0</v>
      </c>
      <c r="M192" s="120" t="s">
        <v>244</v>
      </c>
      <c r="N192" s="121" t="s">
        <v>244</v>
      </c>
      <c r="O192" s="122" t="s">
        <v>244</v>
      </c>
      <c r="P192" s="123" t="s">
        <v>244</v>
      </c>
      <c r="Q192" s="124"/>
      <c r="R192" s="135"/>
      <c r="S192" s="136"/>
      <c r="T192" s="137"/>
      <c r="U192" s="138" t="s">
        <v>244</v>
      </c>
      <c r="V192" s="138" t="s">
        <v>244</v>
      </c>
      <c r="W192" s="139" t="s">
        <v>244</v>
      </c>
      <c r="X192" s="139" t="s">
        <v>244</v>
      </c>
      <c r="Y192" s="54">
        <v>0</v>
      </c>
    </row>
    <row r="193" spans="2:25" s="49" customFormat="1" ht="15.75" x14ac:dyDescent="0.25">
      <c r="B193" s="133"/>
      <c r="C193" s="134"/>
      <c r="D193" s="113"/>
      <c r="E193" s="114"/>
      <c r="F193" s="173"/>
      <c r="G193" s="116" t="s">
        <v>244</v>
      </c>
      <c r="H193" s="116" t="s">
        <v>244</v>
      </c>
      <c r="I193" s="113"/>
      <c r="J193" s="117" t="s">
        <v>244</v>
      </c>
      <c r="K193" s="118"/>
      <c r="L193" s="119">
        <v>0</v>
      </c>
      <c r="M193" s="120" t="s">
        <v>244</v>
      </c>
      <c r="N193" s="121" t="s">
        <v>244</v>
      </c>
      <c r="O193" s="122" t="s">
        <v>244</v>
      </c>
      <c r="P193" s="123" t="s">
        <v>244</v>
      </c>
      <c r="Q193" s="124"/>
      <c r="R193" s="135"/>
      <c r="S193" s="136"/>
      <c r="T193" s="137"/>
      <c r="U193" s="138" t="s">
        <v>244</v>
      </c>
      <c r="V193" s="138" t="s">
        <v>244</v>
      </c>
      <c r="W193" s="139" t="s">
        <v>244</v>
      </c>
      <c r="X193" s="139" t="s">
        <v>244</v>
      </c>
      <c r="Y193" s="54">
        <v>0</v>
      </c>
    </row>
    <row r="194" spans="2:25" s="49" customFormat="1" ht="15.75" x14ac:dyDescent="0.25">
      <c r="B194" s="133"/>
      <c r="C194" s="134"/>
      <c r="D194" s="113"/>
      <c r="E194" s="114"/>
      <c r="F194" s="173"/>
      <c r="G194" s="116" t="s">
        <v>244</v>
      </c>
      <c r="H194" s="116" t="s">
        <v>244</v>
      </c>
      <c r="I194" s="113"/>
      <c r="J194" s="117" t="s">
        <v>244</v>
      </c>
      <c r="K194" s="118"/>
      <c r="L194" s="119">
        <v>0</v>
      </c>
      <c r="M194" s="120" t="s">
        <v>244</v>
      </c>
      <c r="N194" s="121" t="s">
        <v>244</v>
      </c>
      <c r="O194" s="122" t="s">
        <v>244</v>
      </c>
      <c r="P194" s="123" t="s">
        <v>244</v>
      </c>
      <c r="Q194" s="124"/>
      <c r="R194" s="135"/>
      <c r="S194" s="136"/>
      <c r="T194" s="137"/>
      <c r="U194" s="138" t="s">
        <v>244</v>
      </c>
      <c r="V194" s="138" t="s">
        <v>244</v>
      </c>
      <c r="W194" s="139" t="s">
        <v>244</v>
      </c>
      <c r="X194" s="139" t="s">
        <v>244</v>
      </c>
      <c r="Y194" s="54">
        <v>0</v>
      </c>
    </row>
    <row r="195" spans="2:25" s="49" customFormat="1" ht="15.75" x14ac:dyDescent="0.25">
      <c r="B195" s="133"/>
      <c r="C195" s="134"/>
      <c r="D195" s="113"/>
      <c r="E195" s="114"/>
      <c r="F195" s="173"/>
      <c r="G195" s="116" t="s">
        <v>244</v>
      </c>
      <c r="H195" s="116" t="s">
        <v>244</v>
      </c>
      <c r="I195" s="113"/>
      <c r="J195" s="117" t="s">
        <v>244</v>
      </c>
      <c r="K195" s="118"/>
      <c r="L195" s="119">
        <v>0</v>
      </c>
      <c r="M195" s="120" t="s">
        <v>244</v>
      </c>
      <c r="N195" s="121" t="s">
        <v>244</v>
      </c>
      <c r="O195" s="122" t="s">
        <v>244</v>
      </c>
      <c r="P195" s="123" t="s">
        <v>244</v>
      </c>
      <c r="Q195" s="124"/>
      <c r="R195" s="135"/>
      <c r="S195" s="136"/>
      <c r="T195" s="137"/>
      <c r="U195" s="138" t="s">
        <v>244</v>
      </c>
      <c r="V195" s="138" t="s">
        <v>244</v>
      </c>
      <c r="W195" s="139" t="s">
        <v>244</v>
      </c>
      <c r="X195" s="139" t="s">
        <v>244</v>
      </c>
      <c r="Y195" s="54">
        <v>0</v>
      </c>
    </row>
    <row r="196" spans="2:25" s="49" customFormat="1" ht="15.75" x14ac:dyDescent="0.25">
      <c r="B196" s="133"/>
      <c r="C196" s="134"/>
      <c r="D196" s="113"/>
      <c r="E196" s="114"/>
      <c r="F196" s="173"/>
      <c r="G196" s="116" t="s">
        <v>244</v>
      </c>
      <c r="H196" s="116" t="s">
        <v>244</v>
      </c>
      <c r="I196" s="113"/>
      <c r="J196" s="117" t="s">
        <v>244</v>
      </c>
      <c r="K196" s="118"/>
      <c r="L196" s="119">
        <v>0</v>
      </c>
      <c r="M196" s="120" t="s">
        <v>244</v>
      </c>
      <c r="N196" s="121" t="s">
        <v>244</v>
      </c>
      <c r="O196" s="122" t="s">
        <v>244</v>
      </c>
      <c r="P196" s="123" t="s">
        <v>244</v>
      </c>
      <c r="Q196" s="124"/>
      <c r="R196" s="135"/>
      <c r="S196" s="136"/>
      <c r="T196" s="137"/>
      <c r="U196" s="138" t="s">
        <v>244</v>
      </c>
      <c r="V196" s="138" t="s">
        <v>244</v>
      </c>
      <c r="W196" s="139" t="s">
        <v>244</v>
      </c>
      <c r="X196" s="139" t="s">
        <v>244</v>
      </c>
      <c r="Y196" s="54">
        <v>0</v>
      </c>
    </row>
    <row r="197" spans="2:25" s="49" customFormat="1" ht="15.75" x14ac:dyDescent="0.25">
      <c r="B197" s="133"/>
      <c r="C197" s="134"/>
      <c r="D197" s="113"/>
      <c r="E197" s="114"/>
      <c r="F197" s="173"/>
      <c r="G197" s="116" t="s">
        <v>244</v>
      </c>
      <c r="H197" s="116" t="s">
        <v>244</v>
      </c>
      <c r="I197" s="113"/>
      <c r="J197" s="117" t="s">
        <v>244</v>
      </c>
      <c r="K197" s="118"/>
      <c r="L197" s="119">
        <v>0</v>
      </c>
      <c r="M197" s="120" t="s">
        <v>244</v>
      </c>
      <c r="N197" s="121" t="s">
        <v>244</v>
      </c>
      <c r="O197" s="122" t="s">
        <v>244</v>
      </c>
      <c r="P197" s="123" t="s">
        <v>244</v>
      </c>
      <c r="Q197" s="124"/>
      <c r="R197" s="135"/>
      <c r="S197" s="136"/>
      <c r="T197" s="137"/>
      <c r="U197" s="138" t="s">
        <v>244</v>
      </c>
      <c r="V197" s="138" t="s">
        <v>244</v>
      </c>
      <c r="W197" s="139" t="s">
        <v>244</v>
      </c>
      <c r="X197" s="139" t="s">
        <v>244</v>
      </c>
      <c r="Y197" s="54">
        <v>0</v>
      </c>
    </row>
    <row r="198" spans="2:25" s="49" customFormat="1" ht="15.75" x14ac:dyDescent="0.25">
      <c r="B198" s="133"/>
      <c r="C198" s="134"/>
      <c r="D198" s="113"/>
      <c r="E198" s="114"/>
      <c r="F198" s="173"/>
      <c r="G198" s="116" t="s">
        <v>244</v>
      </c>
      <c r="H198" s="116" t="s">
        <v>244</v>
      </c>
      <c r="I198" s="113"/>
      <c r="J198" s="117" t="s">
        <v>244</v>
      </c>
      <c r="K198" s="118"/>
      <c r="L198" s="119">
        <v>0</v>
      </c>
      <c r="M198" s="120" t="s">
        <v>244</v>
      </c>
      <c r="N198" s="121" t="s">
        <v>244</v>
      </c>
      <c r="O198" s="122" t="s">
        <v>244</v>
      </c>
      <c r="P198" s="123" t="s">
        <v>244</v>
      </c>
      <c r="Q198" s="124"/>
      <c r="R198" s="135"/>
      <c r="S198" s="136"/>
      <c r="T198" s="137"/>
      <c r="U198" s="138" t="s">
        <v>244</v>
      </c>
      <c r="V198" s="138" t="s">
        <v>244</v>
      </c>
      <c r="W198" s="139" t="s">
        <v>244</v>
      </c>
      <c r="X198" s="139" t="s">
        <v>244</v>
      </c>
      <c r="Y198" s="54">
        <v>0</v>
      </c>
    </row>
    <row r="199" spans="2:25" s="49" customFormat="1" ht="15.75" x14ac:dyDescent="0.25">
      <c r="B199" s="133"/>
      <c r="C199" s="134"/>
      <c r="D199" s="113"/>
      <c r="E199" s="114"/>
      <c r="F199" s="173"/>
      <c r="G199" s="116" t="s">
        <v>244</v>
      </c>
      <c r="H199" s="116" t="s">
        <v>244</v>
      </c>
      <c r="I199" s="113"/>
      <c r="J199" s="117" t="s">
        <v>244</v>
      </c>
      <c r="K199" s="118"/>
      <c r="L199" s="119">
        <v>0</v>
      </c>
      <c r="M199" s="120" t="s">
        <v>244</v>
      </c>
      <c r="N199" s="121" t="s">
        <v>244</v>
      </c>
      <c r="O199" s="122" t="s">
        <v>244</v>
      </c>
      <c r="P199" s="123" t="s">
        <v>244</v>
      </c>
      <c r="Q199" s="124"/>
      <c r="R199" s="135"/>
      <c r="S199" s="136"/>
      <c r="T199" s="137"/>
      <c r="U199" s="138" t="s">
        <v>244</v>
      </c>
      <c r="V199" s="138" t="s">
        <v>244</v>
      </c>
      <c r="W199" s="139" t="s">
        <v>244</v>
      </c>
      <c r="X199" s="139" t="s">
        <v>244</v>
      </c>
      <c r="Y199" s="54">
        <v>0</v>
      </c>
    </row>
    <row r="200" spans="2:25" s="49" customFormat="1" ht="15.75" x14ac:dyDescent="0.25">
      <c r="B200" s="133"/>
      <c r="C200" s="134"/>
      <c r="D200" s="113"/>
      <c r="E200" s="114"/>
      <c r="F200" s="173"/>
      <c r="G200" s="116" t="s">
        <v>244</v>
      </c>
      <c r="H200" s="116" t="s">
        <v>244</v>
      </c>
      <c r="I200" s="113"/>
      <c r="J200" s="117" t="s">
        <v>244</v>
      </c>
      <c r="K200" s="118"/>
      <c r="L200" s="119">
        <v>0</v>
      </c>
      <c r="M200" s="120" t="s">
        <v>244</v>
      </c>
      <c r="N200" s="121" t="s">
        <v>244</v>
      </c>
      <c r="O200" s="122" t="s">
        <v>244</v>
      </c>
      <c r="P200" s="123" t="s">
        <v>244</v>
      </c>
      <c r="Q200" s="124"/>
      <c r="R200" s="135"/>
      <c r="S200" s="136"/>
      <c r="T200" s="137"/>
      <c r="U200" s="138" t="s">
        <v>244</v>
      </c>
      <c r="V200" s="138" t="s">
        <v>244</v>
      </c>
      <c r="W200" s="139" t="s">
        <v>244</v>
      </c>
      <c r="X200" s="139" t="s">
        <v>244</v>
      </c>
      <c r="Y200" s="54">
        <v>0</v>
      </c>
    </row>
    <row r="201" spans="2:25" s="49" customFormat="1" ht="15.75" x14ac:dyDescent="0.25">
      <c r="B201" s="133"/>
      <c r="C201" s="134"/>
      <c r="D201" s="113"/>
      <c r="E201" s="114"/>
      <c r="F201" s="173"/>
      <c r="G201" s="116" t="s">
        <v>244</v>
      </c>
      <c r="H201" s="116" t="s">
        <v>244</v>
      </c>
      <c r="I201" s="113"/>
      <c r="J201" s="117" t="s">
        <v>244</v>
      </c>
      <c r="K201" s="118"/>
      <c r="L201" s="119">
        <v>0</v>
      </c>
      <c r="M201" s="120" t="s">
        <v>244</v>
      </c>
      <c r="N201" s="121" t="s">
        <v>244</v>
      </c>
      <c r="O201" s="122" t="s">
        <v>244</v>
      </c>
      <c r="P201" s="123" t="s">
        <v>244</v>
      </c>
      <c r="Q201" s="124"/>
      <c r="R201" s="135"/>
      <c r="S201" s="136"/>
      <c r="T201" s="137"/>
      <c r="U201" s="138" t="s">
        <v>244</v>
      </c>
      <c r="V201" s="138" t="s">
        <v>244</v>
      </c>
      <c r="W201" s="139" t="s">
        <v>244</v>
      </c>
      <c r="X201" s="139" t="s">
        <v>244</v>
      </c>
      <c r="Y201" s="54">
        <v>0</v>
      </c>
    </row>
    <row r="202" spans="2:25" s="49" customFormat="1" ht="15.75" x14ac:dyDescent="0.25">
      <c r="B202" s="133"/>
      <c r="C202" s="134"/>
      <c r="D202" s="113"/>
      <c r="E202" s="114"/>
      <c r="F202" s="173"/>
      <c r="G202" s="116" t="s">
        <v>244</v>
      </c>
      <c r="H202" s="116" t="s">
        <v>244</v>
      </c>
      <c r="I202" s="113"/>
      <c r="J202" s="117" t="s">
        <v>244</v>
      </c>
      <c r="K202" s="118"/>
      <c r="L202" s="119">
        <v>0</v>
      </c>
      <c r="M202" s="120" t="s">
        <v>244</v>
      </c>
      <c r="N202" s="121" t="s">
        <v>244</v>
      </c>
      <c r="O202" s="122" t="s">
        <v>244</v>
      </c>
      <c r="P202" s="123" t="s">
        <v>244</v>
      </c>
      <c r="Q202" s="124"/>
      <c r="R202" s="135"/>
      <c r="S202" s="136"/>
      <c r="T202" s="137"/>
      <c r="U202" s="138" t="s">
        <v>244</v>
      </c>
      <c r="V202" s="138" t="s">
        <v>244</v>
      </c>
      <c r="W202" s="139" t="s">
        <v>244</v>
      </c>
      <c r="X202" s="139" t="s">
        <v>244</v>
      </c>
      <c r="Y202" s="54">
        <v>0</v>
      </c>
    </row>
    <row r="203" spans="2:25" s="49" customFormat="1" ht="15.75" x14ac:dyDescent="0.25">
      <c r="B203" s="133"/>
      <c r="C203" s="134"/>
      <c r="D203" s="113"/>
      <c r="E203" s="114"/>
      <c r="F203" s="173"/>
      <c r="G203" s="116" t="s">
        <v>244</v>
      </c>
      <c r="H203" s="116" t="s">
        <v>244</v>
      </c>
      <c r="I203" s="113"/>
      <c r="J203" s="117" t="s">
        <v>244</v>
      </c>
      <c r="K203" s="118"/>
      <c r="L203" s="119">
        <v>0</v>
      </c>
      <c r="M203" s="120" t="s">
        <v>244</v>
      </c>
      <c r="N203" s="121" t="s">
        <v>244</v>
      </c>
      <c r="O203" s="122" t="s">
        <v>244</v>
      </c>
      <c r="P203" s="123" t="s">
        <v>244</v>
      </c>
      <c r="Q203" s="124"/>
      <c r="R203" s="135"/>
      <c r="S203" s="136"/>
      <c r="T203" s="137"/>
      <c r="U203" s="138" t="s">
        <v>244</v>
      </c>
      <c r="V203" s="138" t="s">
        <v>244</v>
      </c>
      <c r="W203" s="139" t="s">
        <v>244</v>
      </c>
      <c r="X203" s="139" t="s">
        <v>244</v>
      </c>
      <c r="Y203" s="54">
        <v>0</v>
      </c>
    </row>
    <row r="204" spans="2:25" s="49" customFormat="1" ht="15.75" x14ac:dyDescent="0.25">
      <c r="B204" s="133"/>
      <c r="C204" s="134"/>
      <c r="D204" s="113"/>
      <c r="E204" s="114"/>
      <c r="F204" s="173"/>
      <c r="G204" s="116" t="s">
        <v>244</v>
      </c>
      <c r="H204" s="116" t="s">
        <v>244</v>
      </c>
      <c r="I204" s="113"/>
      <c r="J204" s="117" t="s">
        <v>244</v>
      </c>
      <c r="K204" s="118"/>
      <c r="L204" s="119">
        <v>0</v>
      </c>
      <c r="M204" s="120" t="s">
        <v>244</v>
      </c>
      <c r="N204" s="121" t="s">
        <v>244</v>
      </c>
      <c r="O204" s="122" t="s">
        <v>244</v>
      </c>
      <c r="P204" s="123" t="s">
        <v>244</v>
      </c>
      <c r="Q204" s="124"/>
      <c r="R204" s="135"/>
      <c r="S204" s="136"/>
      <c r="T204" s="137"/>
      <c r="U204" s="138" t="s">
        <v>244</v>
      </c>
      <c r="V204" s="138" t="s">
        <v>244</v>
      </c>
      <c r="W204" s="139" t="s">
        <v>244</v>
      </c>
      <c r="X204" s="139" t="s">
        <v>244</v>
      </c>
      <c r="Y204" s="54">
        <v>0</v>
      </c>
    </row>
    <row r="205" spans="2:25" s="49" customFormat="1" ht="15.75" x14ac:dyDescent="0.25">
      <c r="B205" s="133"/>
      <c r="C205" s="134"/>
      <c r="D205" s="113"/>
      <c r="E205" s="114"/>
      <c r="F205" s="173"/>
      <c r="G205" s="116" t="s">
        <v>244</v>
      </c>
      <c r="H205" s="116" t="s">
        <v>244</v>
      </c>
      <c r="I205" s="113"/>
      <c r="J205" s="117" t="s">
        <v>244</v>
      </c>
      <c r="K205" s="118"/>
      <c r="L205" s="119">
        <v>0</v>
      </c>
      <c r="M205" s="120" t="s">
        <v>244</v>
      </c>
      <c r="N205" s="121" t="s">
        <v>244</v>
      </c>
      <c r="O205" s="122" t="s">
        <v>244</v>
      </c>
      <c r="P205" s="123" t="s">
        <v>244</v>
      </c>
      <c r="Q205" s="124"/>
      <c r="R205" s="135"/>
      <c r="S205" s="136"/>
      <c r="T205" s="137"/>
      <c r="U205" s="138" t="s">
        <v>244</v>
      </c>
      <c r="V205" s="138" t="s">
        <v>244</v>
      </c>
      <c r="W205" s="139" t="s">
        <v>244</v>
      </c>
      <c r="X205" s="139" t="s">
        <v>244</v>
      </c>
      <c r="Y205" s="54">
        <v>0</v>
      </c>
    </row>
    <row r="206" spans="2:25" s="49" customFormat="1" ht="15.75" x14ac:dyDescent="0.25">
      <c r="B206" s="133"/>
      <c r="C206" s="134"/>
      <c r="D206" s="113"/>
      <c r="E206" s="114"/>
      <c r="F206" s="173"/>
      <c r="G206" s="116" t="s">
        <v>244</v>
      </c>
      <c r="H206" s="116" t="s">
        <v>244</v>
      </c>
      <c r="I206" s="113"/>
      <c r="J206" s="117" t="s">
        <v>244</v>
      </c>
      <c r="K206" s="118"/>
      <c r="L206" s="119">
        <v>0</v>
      </c>
      <c r="M206" s="120" t="s">
        <v>244</v>
      </c>
      <c r="N206" s="121" t="s">
        <v>244</v>
      </c>
      <c r="O206" s="122" t="s">
        <v>244</v>
      </c>
      <c r="P206" s="123" t="s">
        <v>244</v>
      </c>
      <c r="Q206" s="124"/>
      <c r="R206" s="135"/>
      <c r="S206" s="136"/>
      <c r="T206" s="137"/>
      <c r="U206" s="138" t="s">
        <v>244</v>
      </c>
      <c r="V206" s="138" t="s">
        <v>244</v>
      </c>
      <c r="W206" s="139" t="s">
        <v>244</v>
      </c>
      <c r="X206" s="139" t="s">
        <v>244</v>
      </c>
      <c r="Y206" s="54">
        <v>0</v>
      </c>
    </row>
    <row r="207" spans="2:25" s="49" customFormat="1" ht="15.75" x14ac:dyDescent="0.25">
      <c r="B207" s="133"/>
      <c r="C207" s="134"/>
      <c r="D207" s="113"/>
      <c r="E207" s="114"/>
      <c r="F207" s="173"/>
      <c r="G207" s="116" t="s">
        <v>244</v>
      </c>
      <c r="H207" s="116" t="s">
        <v>244</v>
      </c>
      <c r="I207" s="113"/>
      <c r="J207" s="117" t="s">
        <v>244</v>
      </c>
      <c r="K207" s="118"/>
      <c r="L207" s="119">
        <v>0</v>
      </c>
      <c r="M207" s="120" t="s">
        <v>244</v>
      </c>
      <c r="N207" s="121" t="s">
        <v>244</v>
      </c>
      <c r="O207" s="122" t="s">
        <v>244</v>
      </c>
      <c r="P207" s="123" t="s">
        <v>244</v>
      </c>
      <c r="Q207" s="124"/>
      <c r="R207" s="135"/>
      <c r="S207" s="136"/>
      <c r="T207" s="137"/>
      <c r="U207" s="138" t="s">
        <v>244</v>
      </c>
      <c r="V207" s="138" t="s">
        <v>244</v>
      </c>
      <c r="W207" s="139" t="s">
        <v>244</v>
      </c>
      <c r="X207" s="139" t="s">
        <v>244</v>
      </c>
      <c r="Y207" s="54">
        <v>0</v>
      </c>
    </row>
    <row r="208" spans="2:25" s="49" customFormat="1" ht="15.75" x14ac:dyDescent="0.25">
      <c r="B208" s="133"/>
      <c r="C208" s="134"/>
      <c r="D208" s="113"/>
      <c r="E208" s="114"/>
      <c r="F208" s="173"/>
      <c r="G208" s="116" t="s">
        <v>244</v>
      </c>
      <c r="H208" s="116" t="s">
        <v>244</v>
      </c>
      <c r="I208" s="113"/>
      <c r="J208" s="117" t="s">
        <v>244</v>
      </c>
      <c r="K208" s="118"/>
      <c r="L208" s="119">
        <v>0</v>
      </c>
      <c r="M208" s="120" t="s">
        <v>244</v>
      </c>
      <c r="N208" s="121" t="s">
        <v>244</v>
      </c>
      <c r="O208" s="122" t="s">
        <v>244</v>
      </c>
      <c r="P208" s="123" t="s">
        <v>244</v>
      </c>
      <c r="Q208" s="124"/>
      <c r="R208" s="135"/>
      <c r="S208" s="136"/>
      <c r="T208" s="137"/>
      <c r="U208" s="138" t="s">
        <v>244</v>
      </c>
      <c r="V208" s="138" t="s">
        <v>244</v>
      </c>
      <c r="W208" s="139" t="s">
        <v>244</v>
      </c>
      <c r="X208" s="139" t="s">
        <v>244</v>
      </c>
      <c r="Y208" s="54">
        <v>0</v>
      </c>
    </row>
    <row r="209" spans="2:25" s="49" customFormat="1" ht="15.75" x14ac:dyDescent="0.25">
      <c r="B209" s="133"/>
      <c r="C209" s="134"/>
      <c r="D209" s="113"/>
      <c r="E209" s="114"/>
      <c r="F209" s="173"/>
      <c r="G209" s="116" t="s">
        <v>244</v>
      </c>
      <c r="H209" s="116" t="s">
        <v>244</v>
      </c>
      <c r="I209" s="113"/>
      <c r="J209" s="117" t="s">
        <v>244</v>
      </c>
      <c r="K209" s="118"/>
      <c r="L209" s="119">
        <v>0</v>
      </c>
      <c r="M209" s="120" t="s">
        <v>244</v>
      </c>
      <c r="N209" s="121" t="s">
        <v>244</v>
      </c>
      <c r="O209" s="122" t="s">
        <v>244</v>
      </c>
      <c r="P209" s="123" t="s">
        <v>244</v>
      </c>
      <c r="Q209" s="124"/>
      <c r="R209" s="135"/>
      <c r="S209" s="136"/>
      <c r="T209" s="137"/>
      <c r="U209" s="138" t="s">
        <v>244</v>
      </c>
      <c r="V209" s="138" t="s">
        <v>244</v>
      </c>
      <c r="W209" s="139" t="s">
        <v>244</v>
      </c>
      <c r="X209" s="139" t="s">
        <v>244</v>
      </c>
      <c r="Y209" s="54">
        <v>0</v>
      </c>
    </row>
    <row r="210" spans="2:25" s="49" customFormat="1" ht="15.75" x14ac:dyDescent="0.25">
      <c r="B210" s="133"/>
      <c r="C210" s="134"/>
      <c r="D210" s="113"/>
      <c r="E210" s="114"/>
      <c r="F210" s="173"/>
      <c r="G210" s="116" t="s">
        <v>244</v>
      </c>
      <c r="H210" s="116" t="s">
        <v>244</v>
      </c>
      <c r="I210" s="113"/>
      <c r="J210" s="117" t="s">
        <v>244</v>
      </c>
      <c r="K210" s="118"/>
      <c r="L210" s="119">
        <v>0</v>
      </c>
      <c r="M210" s="120" t="s">
        <v>244</v>
      </c>
      <c r="N210" s="121" t="s">
        <v>244</v>
      </c>
      <c r="O210" s="122" t="s">
        <v>244</v>
      </c>
      <c r="P210" s="123" t="s">
        <v>244</v>
      </c>
      <c r="Q210" s="124"/>
      <c r="R210" s="135"/>
      <c r="S210" s="136"/>
      <c r="T210" s="137"/>
      <c r="U210" s="138" t="s">
        <v>244</v>
      </c>
      <c r="V210" s="138" t="s">
        <v>244</v>
      </c>
      <c r="W210" s="139" t="s">
        <v>244</v>
      </c>
      <c r="X210" s="139" t="s">
        <v>244</v>
      </c>
      <c r="Y210" s="54">
        <v>0</v>
      </c>
    </row>
    <row r="211" spans="2:25" s="49" customFormat="1" ht="15.75" x14ac:dyDescent="0.25">
      <c r="B211" s="133"/>
      <c r="C211" s="134"/>
      <c r="D211" s="113"/>
      <c r="E211" s="114"/>
      <c r="F211" s="173"/>
      <c r="G211" s="116" t="s">
        <v>244</v>
      </c>
      <c r="H211" s="116" t="s">
        <v>244</v>
      </c>
      <c r="I211" s="113"/>
      <c r="J211" s="117" t="s">
        <v>244</v>
      </c>
      <c r="K211" s="118"/>
      <c r="L211" s="119">
        <v>0</v>
      </c>
      <c r="M211" s="120" t="s">
        <v>244</v>
      </c>
      <c r="N211" s="121" t="s">
        <v>244</v>
      </c>
      <c r="O211" s="122" t="s">
        <v>244</v>
      </c>
      <c r="P211" s="123" t="s">
        <v>244</v>
      </c>
      <c r="Q211" s="124"/>
      <c r="R211" s="135"/>
      <c r="S211" s="136"/>
      <c r="T211" s="137"/>
      <c r="U211" s="138" t="s">
        <v>244</v>
      </c>
      <c r="V211" s="138" t="s">
        <v>244</v>
      </c>
      <c r="W211" s="139" t="s">
        <v>244</v>
      </c>
      <c r="X211" s="139" t="s">
        <v>244</v>
      </c>
      <c r="Y211" s="54">
        <v>0</v>
      </c>
    </row>
    <row r="212" spans="2:25" s="49" customFormat="1" ht="15.75" x14ac:dyDescent="0.25">
      <c r="B212" s="133"/>
      <c r="C212" s="134"/>
      <c r="D212" s="113"/>
      <c r="E212" s="114"/>
      <c r="F212" s="173"/>
      <c r="G212" s="116" t="s">
        <v>244</v>
      </c>
      <c r="H212" s="116" t="s">
        <v>244</v>
      </c>
      <c r="I212" s="113"/>
      <c r="J212" s="117" t="s">
        <v>244</v>
      </c>
      <c r="K212" s="118"/>
      <c r="L212" s="119">
        <v>0</v>
      </c>
      <c r="M212" s="120" t="s">
        <v>244</v>
      </c>
      <c r="N212" s="121" t="s">
        <v>244</v>
      </c>
      <c r="O212" s="122" t="s">
        <v>244</v>
      </c>
      <c r="P212" s="123" t="s">
        <v>244</v>
      </c>
      <c r="Q212" s="124"/>
      <c r="R212" s="135"/>
      <c r="S212" s="136"/>
      <c r="T212" s="137"/>
      <c r="U212" s="138" t="s">
        <v>244</v>
      </c>
      <c r="V212" s="138" t="s">
        <v>244</v>
      </c>
      <c r="W212" s="139" t="s">
        <v>244</v>
      </c>
      <c r="X212" s="139" t="s">
        <v>244</v>
      </c>
      <c r="Y212" s="54">
        <v>0</v>
      </c>
    </row>
    <row r="213" spans="2:25" s="49" customFormat="1" ht="15.75" x14ac:dyDescent="0.25">
      <c r="B213" s="133"/>
      <c r="C213" s="134"/>
      <c r="D213" s="113"/>
      <c r="E213" s="114"/>
      <c r="F213" s="173"/>
      <c r="G213" s="116" t="s">
        <v>244</v>
      </c>
      <c r="H213" s="116" t="s">
        <v>244</v>
      </c>
      <c r="I213" s="113"/>
      <c r="J213" s="117" t="s">
        <v>244</v>
      </c>
      <c r="K213" s="118"/>
      <c r="L213" s="119">
        <v>0</v>
      </c>
      <c r="M213" s="120" t="s">
        <v>244</v>
      </c>
      <c r="N213" s="121" t="s">
        <v>244</v>
      </c>
      <c r="O213" s="122" t="s">
        <v>244</v>
      </c>
      <c r="P213" s="123" t="s">
        <v>244</v>
      </c>
      <c r="Q213" s="124"/>
      <c r="R213" s="135"/>
      <c r="S213" s="136"/>
      <c r="T213" s="137"/>
      <c r="U213" s="138" t="s">
        <v>244</v>
      </c>
      <c r="V213" s="138" t="s">
        <v>244</v>
      </c>
      <c r="W213" s="139" t="s">
        <v>244</v>
      </c>
      <c r="X213" s="139" t="s">
        <v>244</v>
      </c>
      <c r="Y213" s="54">
        <v>0</v>
      </c>
    </row>
    <row r="214" spans="2:25" s="49" customFormat="1" ht="15.75" x14ac:dyDescent="0.25">
      <c r="B214" s="133"/>
      <c r="C214" s="134"/>
      <c r="D214" s="113"/>
      <c r="E214" s="114"/>
      <c r="F214" s="173"/>
      <c r="G214" s="116" t="s">
        <v>244</v>
      </c>
      <c r="H214" s="116" t="s">
        <v>244</v>
      </c>
      <c r="I214" s="113"/>
      <c r="J214" s="117" t="s">
        <v>244</v>
      </c>
      <c r="K214" s="118"/>
      <c r="L214" s="119">
        <v>0</v>
      </c>
      <c r="M214" s="120" t="s">
        <v>244</v>
      </c>
      <c r="N214" s="121" t="s">
        <v>244</v>
      </c>
      <c r="O214" s="122" t="s">
        <v>244</v>
      </c>
      <c r="P214" s="123" t="s">
        <v>244</v>
      </c>
      <c r="Q214" s="124"/>
      <c r="R214" s="135"/>
      <c r="S214" s="136"/>
      <c r="T214" s="137"/>
      <c r="U214" s="138" t="s">
        <v>244</v>
      </c>
      <c r="V214" s="138" t="s">
        <v>244</v>
      </c>
      <c r="W214" s="139" t="s">
        <v>244</v>
      </c>
      <c r="X214" s="139" t="s">
        <v>244</v>
      </c>
      <c r="Y214" s="54">
        <v>0</v>
      </c>
    </row>
    <row r="215" spans="2:25" s="49" customFormat="1" ht="15.75" x14ac:dyDescent="0.25">
      <c r="B215" s="133"/>
      <c r="C215" s="134"/>
      <c r="D215" s="113"/>
      <c r="E215" s="114"/>
      <c r="F215" s="173"/>
      <c r="G215" s="116" t="s">
        <v>244</v>
      </c>
      <c r="H215" s="116" t="s">
        <v>244</v>
      </c>
      <c r="I215" s="113"/>
      <c r="J215" s="117" t="s">
        <v>244</v>
      </c>
      <c r="K215" s="118"/>
      <c r="L215" s="119">
        <v>0</v>
      </c>
      <c r="M215" s="120" t="s">
        <v>244</v>
      </c>
      <c r="N215" s="121" t="s">
        <v>244</v>
      </c>
      <c r="O215" s="122" t="s">
        <v>244</v>
      </c>
      <c r="P215" s="123" t="s">
        <v>244</v>
      </c>
      <c r="Q215" s="124"/>
      <c r="R215" s="135"/>
      <c r="S215" s="136"/>
      <c r="T215" s="137"/>
      <c r="U215" s="138" t="s">
        <v>244</v>
      </c>
      <c r="V215" s="138" t="s">
        <v>244</v>
      </c>
      <c r="W215" s="139" t="s">
        <v>244</v>
      </c>
      <c r="X215" s="139" t="s">
        <v>244</v>
      </c>
      <c r="Y215" s="54">
        <v>0</v>
      </c>
    </row>
    <row r="216" spans="2:25" s="49" customFormat="1" ht="15.75" x14ac:dyDescent="0.25">
      <c r="B216" s="133"/>
      <c r="C216" s="134"/>
      <c r="D216" s="113"/>
      <c r="E216" s="114"/>
      <c r="F216" s="173"/>
      <c r="G216" s="116" t="s">
        <v>244</v>
      </c>
      <c r="H216" s="116" t="s">
        <v>244</v>
      </c>
      <c r="I216" s="113"/>
      <c r="J216" s="117" t="s">
        <v>244</v>
      </c>
      <c r="K216" s="118"/>
      <c r="L216" s="119">
        <v>0</v>
      </c>
      <c r="M216" s="120" t="s">
        <v>244</v>
      </c>
      <c r="N216" s="121" t="s">
        <v>244</v>
      </c>
      <c r="O216" s="122" t="s">
        <v>244</v>
      </c>
      <c r="P216" s="123" t="s">
        <v>244</v>
      </c>
      <c r="Q216" s="124"/>
      <c r="R216" s="135"/>
      <c r="S216" s="136"/>
      <c r="T216" s="137"/>
      <c r="U216" s="138" t="s">
        <v>244</v>
      </c>
      <c r="V216" s="138" t="s">
        <v>244</v>
      </c>
      <c r="W216" s="139" t="s">
        <v>244</v>
      </c>
      <c r="X216" s="139" t="s">
        <v>244</v>
      </c>
      <c r="Y216" s="54">
        <v>0</v>
      </c>
    </row>
    <row r="217" spans="2:25" s="49" customFormat="1" ht="15.75" x14ac:dyDescent="0.25">
      <c r="B217" s="133"/>
      <c r="C217" s="134"/>
      <c r="D217" s="113"/>
      <c r="E217" s="114"/>
      <c r="F217" s="173"/>
      <c r="G217" s="116" t="s">
        <v>244</v>
      </c>
      <c r="H217" s="116" t="s">
        <v>244</v>
      </c>
      <c r="I217" s="113"/>
      <c r="J217" s="117" t="s">
        <v>244</v>
      </c>
      <c r="K217" s="118"/>
      <c r="L217" s="119">
        <v>0</v>
      </c>
      <c r="M217" s="120" t="s">
        <v>244</v>
      </c>
      <c r="N217" s="121" t="s">
        <v>244</v>
      </c>
      <c r="O217" s="122" t="s">
        <v>244</v>
      </c>
      <c r="P217" s="123" t="s">
        <v>244</v>
      </c>
      <c r="Q217" s="124"/>
      <c r="R217" s="135"/>
      <c r="S217" s="136"/>
      <c r="T217" s="137"/>
      <c r="U217" s="138" t="s">
        <v>244</v>
      </c>
      <c r="V217" s="138" t="s">
        <v>244</v>
      </c>
      <c r="W217" s="139" t="s">
        <v>244</v>
      </c>
      <c r="X217" s="139" t="s">
        <v>244</v>
      </c>
      <c r="Y217" s="54">
        <v>0</v>
      </c>
    </row>
    <row r="218" spans="2:25" s="49" customFormat="1" ht="15.75" x14ac:dyDescent="0.25">
      <c r="B218" s="133"/>
      <c r="C218" s="134"/>
      <c r="D218" s="113"/>
      <c r="E218" s="114"/>
      <c r="F218" s="173"/>
      <c r="G218" s="116" t="s">
        <v>244</v>
      </c>
      <c r="H218" s="116" t="s">
        <v>244</v>
      </c>
      <c r="I218" s="113"/>
      <c r="J218" s="117" t="s">
        <v>244</v>
      </c>
      <c r="K218" s="118"/>
      <c r="L218" s="119">
        <v>0</v>
      </c>
      <c r="M218" s="120" t="s">
        <v>244</v>
      </c>
      <c r="N218" s="121" t="s">
        <v>244</v>
      </c>
      <c r="O218" s="122" t="s">
        <v>244</v>
      </c>
      <c r="P218" s="123" t="s">
        <v>244</v>
      </c>
      <c r="Q218" s="124"/>
      <c r="R218" s="135"/>
      <c r="S218" s="136"/>
      <c r="T218" s="137"/>
      <c r="U218" s="138" t="s">
        <v>244</v>
      </c>
      <c r="V218" s="138" t="s">
        <v>244</v>
      </c>
      <c r="W218" s="139" t="s">
        <v>244</v>
      </c>
      <c r="X218" s="139" t="s">
        <v>244</v>
      </c>
      <c r="Y218" s="54">
        <v>0</v>
      </c>
    </row>
    <row r="219" spans="2:25" s="49" customFormat="1" ht="15.75" x14ac:dyDescent="0.25">
      <c r="B219" s="133"/>
      <c r="C219" s="134"/>
      <c r="D219" s="113"/>
      <c r="E219" s="114"/>
      <c r="F219" s="173"/>
      <c r="G219" s="116" t="s">
        <v>244</v>
      </c>
      <c r="H219" s="116" t="s">
        <v>244</v>
      </c>
      <c r="I219" s="113"/>
      <c r="J219" s="117" t="s">
        <v>244</v>
      </c>
      <c r="K219" s="118"/>
      <c r="L219" s="119">
        <v>0</v>
      </c>
      <c r="M219" s="120" t="s">
        <v>244</v>
      </c>
      <c r="N219" s="121" t="s">
        <v>244</v>
      </c>
      <c r="O219" s="122" t="s">
        <v>244</v>
      </c>
      <c r="P219" s="123" t="s">
        <v>244</v>
      </c>
      <c r="Q219" s="124"/>
      <c r="R219" s="135"/>
      <c r="S219" s="136"/>
      <c r="T219" s="137"/>
      <c r="U219" s="138" t="s">
        <v>244</v>
      </c>
      <c r="V219" s="138" t="s">
        <v>244</v>
      </c>
      <c r="W219" s="139" t="s">
        <v>244</v>
      </c>
      <c r="X219" s="139" t="s">
        <v>244</v>
      </c>
      <c r="Y219" s="54">
        <v>0</v>
      </c>
    </row>
    <row r="220" spans="2:25" s="49" customFormat="1" ht="15.75" x14ac:dyDescent="0.25">
      <c r="B220" s="133"/>
      <c r="C220" s="134"/>
      <c r="D220" s="113"/>
      <c r="E220" s="114"/>
      <c r="F220" s="173"/>
      <c r="G220" s="116" t="s">
        <v>244</v>
      </c>
      <c r="H220" s="116" t="s">
        <v>244</v>
      </c>
      <c r="I220" s="113"/>
      <c r="J220" s="117" t="s">
        <v>244</v>
      </c>
      <c r="K220" s="118"/>
      <c r="L220" s="119">
        <v>0</v>
      </c>
      <c r="M220" s="120" t="s">
        <v>244</v>
      </c>
      <c r="N220" s="121" t="s">
        <v>244</v>
      </c>
      <c r="O220" s="122" t="s">
        <v>244</v>
      </c>
      <c r="P220" s="123" t="s">
        <v>244</v>
      </c>
      <c r="Q220" s="124"/>
      <c r="R220" s="135"/>
      <c r="S220" s="136"/>
      <c r="T220" s="137"/>
      <c r="U220" s="138" t="s">
        <v>244</v>
      </c>
      <c r="V220" s="138" t="s">
        <v>244</v>
      </c>
      <c r="W220" s="139" t="s">
        <v>244</v>
      </c>
      <c r="X220" s="139" t="s">
        <v>244</v>
      </c>
      <c r="Y220" s="54">
        <v>0</v>
      </c>
    </row>
    <row r="221" spans="2:25" s="49" customFormat="1" ht="15.75" x14ac:dyDescent="0.25">
      <c r="B221" s="133"/>
      <c r="C221" s="134"/>
      <c r="D221" s="113"/>
      <c r="E221" s="114"/>
      <c r="F221" s="173"/>
      <c r="G221" s="116" t="s">
        <v>244</v>
      </c>
      <c r="H221" s="116" t="s">
        <v>244</v>
      </c>
      <c r="I221" s="113"/>
      <c r="J221" s="117" t="s">
        <v>244</v>
      </c>
      <c r="K221" s="118"/>
      <c r="L221" s="119">
        <v>0</v>
      </c>
      <c r="M221" s="120" t="s">
        <v>244</v>
      </c>
      <c r="N221" s="121" t="s">
        <v>244</v>
      </c>
      <c r="O221" s="122" t="s">
        <v>244</v>
      </c>
      <c r="P221" s="123" t="s">
        <v>244</v>
      </c>
      <c r="Q221" s="124"/>
      <c r="R221" s="135"/>
      <c r="S221" s="136"/>
      <c r="T221" s="137"/>
      <c r="U221" s="138" t="s">
        <v>244</v>
      </c>
      <c r="V221" s="138" t="s">
        <v>244</v>
      </c>
      <c r="W221" s="139" t="s">
        <v>244</v>
      </c>
      <c r="X221" s="139" t="s">
        <v>244</v>
      </c>
      <c r="Y221" s="54">
        <v>0</v>
      </c>
    </row>
    <row r="222" spans="2:25" s="49" customFormat="1" ht="15.75" x14ac:dyDescent="0.25">
      <c r="B222" s="133"/>
      <c r="C222" s="134"/>
      <c r="D222" s="113"/>
      <c r="E222" s="114"/>
      <c r="F222" s="173"/>
      <c r="G222" s="116" t="s">
        <v>244</v>
      </c>
      <c r="H222" s="116" t="s">
        <v>244</v>
      </c>
      <c r="I222" s="113"/>
      <c r="J222" s="117" t="s">
        <v>244</v>
      </c>
      <c r="K222" s="118"/>
      <c r="L222" s="119">
        <v>0</v>
      </c>
      <c r="M222" s="120" t="s">
        <v>244</v>
      </c>
      <c r="N222" s="121" t="s">
        <v>244</v>
      </c>
      <c r="O222" s="122" t="s">
        <v>244</v>
      </c>
      <c r="P222" s="123" t="s">
        <v>244</v>
      </c>
      <c r="Q222" s="124"/>
      <c r="R222" s="135"/>
      <c r="S222" s="136"/>
      <c r="T222" s="137"/>
      <c r="U222" s="138" t="s">
        <v>244</v>
      </c>
      <c r="V222" s="138" t="s">
        <v>244</v>
      </c>
      <c r="W222" s="139" t="s">
        <v>244</v>
      </c>
      <c r="X222" s="139" t="s">
        <v>244</v>
      </c>
      <c r="Y222" s="54">
        <v>0</v>
      </c>
    </row>
    <row r="223" spans="2:25" s="49" customFormat="1" ht="15.75" x14ac:dyDescent="0.25">
      <c r="B223" s="133"/>
      <c r="C223" s="134"/>
      <c r="D223" s="113"/>
      <c r="E223" s="114"/>
      <c r="F223" s="173"/>
      <c r="G223" s="116" t="s">
        <v>244</v>
      </c>
      <c r="H223" s="116" t="s">
        <v>244</v>
      </c>
      <c r="I223" s="113"/>
      <c r="J223" s="117" t="s">
        <v>244</v>
      </c>
      <c r="K223" s="118"/>
      <c r="L223" s="119">
        <v>0</v>
      </c>
      <c r="M223" s="120" t="s">
        <v>244</v>
      </c>
      <c r="N223" s="121" t="s">
        <v>244</v>
      </c>
      <c r="O223" s="122" t="s">
        <v>244</v>
      </c>
      <c r="P223" s="123" t="s">
        <v>244</v>
      </c>
      <c r="Q223" s="124"/>
      <c r="R223" s="135"/>
      <c r="S223" s="136"/>
      <c r="T223" s="137"/>
      <c r="U223" s="138" t="s">
        <v>244</v>
      </c>
      <c r="V223" s="138" t="s">
        <v>244</v>
      </c>
      <c r="W223" s="139" t="s">
        <v>244</v>
      </c>
      <c r="X223" s="139" t="s">
        <v>244</v>
      </c>
      <c r="Y223" s="54">
        <v>0</v>
      </c>
    </row>
    <row r="224" spans="2:25" s="49" customFormat="1" ht="15.75" x14ac:dyDescent="0.25">
      <c r="B224" s="133"/>
      <c r="C224" s="134"/>
      <c r="D224" s="113"/>
      <c r="E224" s="114"/>
      <c r="F224" s="173"/>
      <c r="G224" s="116" t="s">
        <v>244</v>
      </c>
      <c r="H224" s="116" t="s">
        <v>244</v>
      </c>
      <c r="I224" s="113"/>
      <c r="J224" s="117" t="s">
        <v>244</v>
      </c>
      <c r="K224" s="118"/>
      <c r="L224" s="119">
        <v>0</v>
      </c>
      <c r="M224" s="120" t="s">
        <v>244</v>
      </c>
      <c r="N224" s="121" t="s">
        <v>244</v>
      </c>
      <c r="O224" s="122" t="s">
        <v>244</v>
      </c>
      <c r="P224" s="123" t="s">
        <v>244</v>
      </c>
      <c r="Q224" s="124"/>
      <c r="R224" s="135"/>
      <c r="S224" s="136"/>
      <c r="T224" s="137"/>
      <c r="U224" s="138" t="s">
        <v>244</v>
      </c>
      <c r="V224" s="138" t="s">
        <v>244</v>
      </c>
      <c r="W224" s="139" t="s">
        <v>244</v>
      </c>
      <c r="X224" s="139" t="s">
        <v>244</v>
      </c>
      <c r="Y224" s="54">
        <v>0</v>
      </c>
    </row>
    <row r="225" spans="2:25" s="49" customFormat="1" ht="15.75" x14ac:dyDescent="0.25">
      <c r="B225" s="133"/>
      <c r="C225" s="134"/>
      <c r="D225" s="113"/>
      <c r="E225" s="114"/>
      <c r="F225" s="173"/>
      <c r="G225" s="116" t="s">
        <v>244</v>
      </c>
      <c r="H225" s="116" t="s">
        <v>244</v>
      </c>
      <c r="I225" s="113"/>
      <c r="J225" s="117" t="s">
        <v>244</v>
      </c>
      <c r="K225" s="118"/>
      <c r="L225" s="119">
        <v>0</v>
      </c>
      <c r="M225" s="120" t="s">
        <v>244</v>
      </c>
      <c r="N225" s="121" t="s">
        <v>244</v>
      </c>
      <c r="O225" s="122" t="s">
        <v>244</v>
      </c>
      <c r="P225" s="123" t="s">
        <v>244</v>
      </c>
      <c r="Q225" s="124"/>
      <c r="R225" s="135"/>
      <c r="S225" s="136"/>
      <c r="T225" s="137"/>
      <c r="U225" s="138" t="s">
        <v>244</v>
      </c>
      <c r="V225" s="138" t="s">
        <v>244</v>
      </c>
      <c r="W225" s="139" t="s">
        <v>244</v>
      </c>
      <c r="X225" s="139" t="s">
        <v>244</v>
      </c>
      <c r="Y225" s="54">
        <v>0</v>
      </c>
    </row>
    <row r="226" spans="2:25" s="49" customFormat="1" ht="15.75" x14ac:dyDescent="0.25">
      <c r="B226" s="133"/>
      <c r="C226" s="134"/>
      <c r="D226" s="113"/>
      <c r="E226" s="114"/>
      <c r="F226" s="173"/>
      <c r="G226" s="116" t="s">
        <v>244</v>
      </c>
      <c r="H226" s="116" t="s">
        <v>244</v>
      </c>
      <c r="I226" s="113"/>
      <c r="J226" s="117" t="s">
        <v>244</v>
      </c>
      <c r="K226" s="118"/>
      <c r="L226" s="119">
        <v>0</v>
      </c>
      <c r="M226" s="120" t="s">
        <v>244</v>
      </c>
      <c r="N226" s="121" t="s">
        <v>244</v>
      </c>
      <c r="O226" s="122" t="s">
        <v>244</v>
      </c>
      <c r="P226" s="123" t="s">
        <v>244</v>
      </c>
      <c r="Q226" s="124"/>
      <c r="R226" s="135"/>
      <c r="S226" s="136"/>
      <c r="T226" s="137"/>
      <c r="U226" s="138" t="s">
        <v>244</v>
      </c>
      <c r="V226" s="138" t="s">
        <v>244</v>
      </c>
      <c r="W226" s="139" t="s">
        <v>244</v>
      </c>
      <c r="X226" s="139" t="s">
        <v>244</v>
      </c>
      <c r="Y226" s="54">
        <v>0</v>
      </c>
    </row>
    <row r="227" spans="2:25" s="49" customFormat="1" ht="15.75" x14ac:dyDescent="0.25">
      <c r="B227" s="133"/>
      <c r="C227" s="134"/>
      <c r="D227" s="113"/>
      <c r="E227" s="114"/>
      <c r="F227" s="173"/>
      <c r="G227" s="116" t="s">
        <v>244</v>
      </c>
      <c r="H227" s="116" t="s">
        <v>244</v>
      </c>
      <c r="I227" s="113"/>
      <c r="J227" s="117" t="s">
        <v>244</v>
      </c>
      <c r="K227" s="118"/>
      <c r="L227" s="119">
        <v>0</v>
      </c>
      <c r="M227" s="120" t="s">
        <v>244</v>
      </c>
      <c r="N227" s="121" t="s">
        <v>244</v>
      </c>
      <c r="O227" s="122" t="s">
        <v>244</v>
      </c>
      <c r="P227" s="123" t="s">
        <v>244</v>
      </c>
      <c r="Q227" s="124"/>
      <c r="R227" s="135"/>
      <c r="S227" s="136"/>
      <c r="T227" s="137"/>
      <c r="U227" s="138" t="s">
        <v>244</v>
      </c>
      <c r="V227" s="138" t="s">
        <v>244</v>
      </c>
      <c r="W227" s="139" t="s">
        <v>244</v>
      </c>
      <c r="X227" s="139" t="s">
        <v>244</v>
      </c>
      <c r="Y227" s="54">
        <v>0</v>
      </c>
    </row>
    <row r="228" spans="2:25" s="49" customFormat="1" ht="15.75" x14ac:dyDescent="0.25">
      <c r="B228" s="133"/>
      <c r="C228" s="134"/>
      <c r="D228" s="113"/>
      <c r="E228" s="114"/>
      <c r="F228" s="173"/>
      <c r="G228" s="116" t="s">
        <v>244</v>
      </c>
      <c r="H228" s="116" t="s">
        <v>244</v>
      </c>
      <c r="I228" s="113"/>
      <c r="J228" s="117" t="s">
        <v>244</v>
      </c>
      <c r="K228" s="118"/>
      <c r="L228" s="119">
        <v>0</v>
      </c>
      <c r="M228" s="120" t="s">
        <v>244</v>
      </c>
      <c r="N228" s="121" t="s">
        <v>244</v>
      </c>
      <c r="O228" s="122" t="s">
        <v>244</v>
      </c>
      <c r="P228" s="123" t="s">
        <v>244</v>
      </c>
      <c r="Q228" s="124"/>
      <c r="R228" s="135"/>
      <c r="S228" s="136"/>
      <c r="T228" s="137"/>
      <c r="U228" s="138" t="s">
        <v>244</v>
      </c>
      <c r="V228" s="138" t="s">
        <v>244</v>
      </c>
      <c r="W228" s="139" t="s">
        <v>244</v>
      </c>
      <c r="X228" s="139" t="s">
        <v>244</v>
      </c>
      <c r="Y228" s="54">
        <v>0</v>
      </c>
    </row>
    <row r="229" spans="2:25" s="49" customFormat="1" ht="15.75" x14ac:dyDescent="0.25">
      <c r="B229" s="133"/>
      <c r="C229" s="134"/>
      <c r="D229" s="113"/>
      <c r="E229" s="114"/>
      <c r="F229" s="173"/>
      <c r="G229" s="116" t="s">
        <v>244</v>
      </c>
      <c r="H229" s="116" t="s">
        <v>244</v>
      </c>
      <c r="I229" s="113"/>
      <c r="J229" s="117" t="s">
        <v>244</v>
      </c>
      <c r="K229" s="118"/>
      <c r="L229" s="119">
        <v>0</v>
      </c>
      <c r="M229" s="120" t="s">
        <v>244</v>
      </c>
      <c r="N229" s="121" t="s">
        <v>244</v>
      </c>
      <c r="O229" s="122" t="s">
        <v>244</v>
      </c>
      <c r="P229" s="123" t="s">
        <v>244</v>
      </c>
      <c r="Q229" s="124"/>
      <c r="R229" s="135"/>
      <c r="S229" s="136"/>
      <c r="T229" s="137"/>
      <c r="U229" s="138" t="s">
        <v>244</v>
      </c>
      <c r="V229" s="138" t="s">
        <v>244</v>
      </c>
      <c r="W229" s="139" t="s">
        <v>244</v>
      </c>
      <c r="X229" s="139" t="s">
        <v>244</v>
      </c>
      <c r="Y229" s="54">
        <v>0</v>
      </c>
    </row>
    <row r="230" spans="2:25" s="49" customFormat="1" ht="15.75" x14ac:dyDescent="0.25">
      <c r="B230" s="133"/>
      <c r="C230" s="134"/>
      <c r="D230" s="113"/>
      <c r="E230" s="114"/>
      <c r="F230" s="173"/>
      <c r="G230" s="116" t="s">
        <v>244</v>
      </c>
      <c r="H230" s="116" t="s">
        <v>244</v>
      </c>
      <c r="I230" s="113"/>
      <c r="J230" s="117" t="s">
        <v>244</v>
      </c>
      <c r="K230" s="118"/>
      <c r="L230" s="119">
        <v>0</v>
      </c>
      <c r="M230" s="120" t="s">
        <v>244</v>
      </c>
      <c r="N230" s="121" t="s">
        <v>244</v>
      </c>
      <c r="O230" s="122" t="s">
        <v>244</v>
      </c>
      <c r="P230" s="123" t="s">
        <v>244</v>
      </c>
      <c r="Q230" s="124"/>
      <c r="R230" s="135"/>
      <c r="S230" s="136"/>
      <c r="T230" s="137"/>
      <c r="U230" s="138" t="s">
        <v>244</v>
      </c>
      <c r="V230" s="138" t="s">
        <v>244</v>
      </c>
      <c r="W230" s="139" t="s">
        <v>244</v>
      </c>
      <c r="X230" s="139" t="s">
        <v>244</v>
      </c>
      <c r="Y230" s="54">
        <v>0</v>
      </c>
    </row>
    <row r="231" spans="2:25" s="49" customFormat="1" ht="15.75" x14ac:dyDescent="0.25">
      <c r="B231" s="133"/>
      <c r="C231" s="134"/>
      <c r="D231" s="113"/>
      <c r="E231" s="114"/>
      <c r="F231" s="173"/>
      <c r="G231" s="116" t="s">
        <v>244</v>
      </c>
      <c r="H231" s="116" t="s">
        <v>244</v>
      </c>
      <c r="I231" s="113"/>
      <c r="J231" s="117" t="s">
        <v>244</v>
      </c>
      <c r="K231" s="118"/>
      <c r="L231" s="119">
        <v>0</v>
      </c>
      <c r="M231" s="120" t="s">
        <v>244</v>
      </c>
      <c r="N231" s="121" t="s">
        <v>244</v>
      </c>
      <c r="O231" s="122" t="s">
        <v>244</v>
      </c>
      <c r="P231" s="123" t="s">
        <v>244</v>
      </c>
      <c r="Q231" s="124"/>
      <c r="R231" s="135"/>
      <c r="S231" s="136"/>
      <c r="T231" s="137"/>
      <c r="U231" s="138" t="s">
        <v>244</v>
      </c>
      <c r="V231" s="138" t="s">
        <v>244</v>
      </c>
      <c r="W231" s="139" t="s">
        <v>244</v>
      </c>
      <c r="X231" s="139" t="s">
        <v>244</v>
      </c>
      <c r="Y231" s="54">
        <v>0</v>
      </c>
    </row>
    <row r="232" spans="2:25" s="49" customFormat="1" ht="15.75" x14ac:dyDescent="0.25">
      <c r="B232" s="133"/>
      <c r="C232" s="134"/>
      <c r="D232" s="113"/>
      <c r="E232" s="114"/>
      <c r="F232" s="173"/>
      <c r="G232" s="116" t="s">
        <v>244</v>
      </c>
      <c r="H232" s="116" t="s">
        <v>244</v>
      </c>
      <c r="I232" s="113"/>
      <c r="J232" s="117" t="s">
        <v>244</v>
      </c>
      <c r="K232" s="118"/>
      <c r="L232" s="119">
        <v>0</v>
      </c>
      <c r="M232" s="120" t="s">
        <v>244</v>
      </c>
      <c r="N232" s="121" t="s">
        <v>244</v>
      </c>
      <c r="O232" s="122" t="s">
        <v>244</v>
      </c>
      <c r="P232" s="123" t="s">
        <v>244</v>
      </c>
      <c r="Q232" s="124"/>
      <c r="R232" s="135"/>
      <c r="S232" s="136"/>
      <c r="T232" s="137"/>
      <c r="U232" s="138" t="s">
        <v>244</v>
      </c>
      <c r="V232" s="138" t="s">
        <v>244</v>
      </c>
      <c r="W232" s="139" t="s">
        <v>244</v>
      </c>
      <c r="X232" s="139" t="s">
        <v>244</v>
      </c>
      <c r="Y232" s="54">
        <v>0</v>
      </c>
    </row>
    <row r="233" spans="2:25" s="49" customFormat="1" ht="15.75" x14ac:dyDescent="0.25">
      <c r="B233" s="133"/>
      <c r="C233" s="134"/>
      <c r="D233" s="113"/>
      <c r="E233" s="114"/>
      <c r="F233" s="173"/>
      <c r="G233" s="116" t="s">
        <v>244</v>
      </c>
      <c r="H233" s="116" t="s">
        <v>244</v>
      </c>
      <c r="I233" s="113"/>
      <c r="J233" s="117" t="s">
        <v>244</v>
      </c>
      <c r="K233" s="118"/>
      <c r="L233" s="119">
        <v>0</v>
      </c>
      <c r="M233" s="120" t="s">
        <v>244</v>
      </c>
      <c r="N233" s="121" t="s">
        <v>244</v>
      </c>
      <c r="O233" s="122" t="s">
        <v>244</v>
      </c>
      <c r="P233" s="123" t="s">
        <v>244</v>
      </c>
      <c r="Q233" s="124"/>
      <c r="R233" s="135"/>
      <c r="S233" s="136"/>
      <c r="T233" s="137"/>
      <c r="U233" s="138" t="s">
        <v>244</v>
      </c>
      <c r="V233" s="138" t="s">
        <v>244</v>
      </c>
      <c r="W233" s="139" t="s">
        <v>244</v>
      </c>
      <c r="X233" s="139" t="s">
        <v>244</v>
      </c>
      <c r="Y233" s="54">
        <v>0</v>
      </c>
    </row>
    <row r="234" spans="2:25" s="49" customFormat="1" ht="15.75" x14ac:dyDescent="0.25">
      <c r="B234" s="133"/>
      <c r="C234" s="134"/>
      <c r="D234" s="113"/>
      <c r="E234" s="114"/>
      <c r="F234" s="173"/>
      <c r="G234" s="116" t="s">
        <v>244</v>
      </c>
      <c r="H234" s="116" t="s">
        <v>244</v>
      </c>
      <c r="I234" s="113"/>
      <c r="J234" s="117" t="s">
        <v>244</v>
      </c>
      <c r="K234" s="118"/>
      <c r="L234" s="119">
        <v>0</v>
      </c>
      <c r="M234" s="120" t="s">
        <v>244</v>
      </c>
      <c r="N234" s="121" t="s">
        <v>244</v>
      </c>
      <c r="O234" s="122" t="s">
        <v>244</v>
      </c>
      <c r="P234" s="123" t="s">
        <v>244</v>
      </c>
      <c r="Q234" s="124"/>
      <c r="R234" s="135"/>
      <c r="S234" s="136"/>
      <c r="T234" s="137"/>
      <c r="U234" s="138" t="s">
        <v>244</v>
      </c>
      <c r="V234" s="138" t="s">
        <v>244</v>
      </c>
      <c r="W234" s="139" t="s">
        <v>244</v>
      </c>
      <c r="X234" s="139" t="s">
        <v>244</v>
      </c>
      <c r="Y234" s="54">
        <v>0</v>
      </c>
    </row>
    <row r="235" spans="2:25" s="49" customFormat="1" ht="15.75" x14ac:dyDescent="0.25">
      <c r="B235" s="133"/>
      <c r="C235" s="134"/>
      <c r="D235" s="113"/>
      <c r="E235" s="114"/>
      <c r="F235" s="173"/>
      <c r="G235" s="116" t="s">
        <v>244</v>
      </c>
      <c r="H235" s="116" t="s">
        <v>244</v>
      </c>
      <c r="I235" s="113"/>
      <c r="J235" s="117" t="s">
        <v>244</v>
      </c>
      <c r="K235" s="118"/>
      <c r="L235" s="119">
        <v>0</v>
      </c>
      <c r="M235" s="120" t="s">
        <v>244</v>
      </c>
      <c r="N235" s="121" t="s">
        <v>244</v>
      </c>
      <c r="O235" s="122" t="s">
        <v>244</v>
      </c>
      <c r="P235" s="123" t="s">
        <v>244</v>
      </c>
      <c r="Q235" s="124"/>
      <c r="R235" s="135"/>
      <c r="S235" s="136"/>
      <c r="T235" s="137"/>
      <c r="U235" s="138" t="s">
        <v>244</v>
      </c>
      <c r="V235" s="138" t="s">
        <v>244</v>
      </c>
      <c r="W235" s="139" t="s">
        <v>244</v>
      </c>
      <c r="X235" s="139" t="s">
        <v>244</v>
      </c>
      <c r="Y235" s="54">
        <v>0</v>
      </c>
    </row>
    <row r="236" spans="2:25" s="49" customFormat="1" ht="15.75" x14ac:dyDescent="0.25">
      <c r="B236" s="133"/>
      <c r="C236" s="134"/>
      <c r="D236" s="113"/>
      <c r="E236" s="114"/>
      <c r="F236" s="173"/>
      <c r="G236" s="116" t="s">
        <v>244</v>
      </c>
      <c r="H236" s="116" t="s">
        <v>244</v>
      </c>
      <c r="I236" s="113"/>
      <c r="J236" s="117" t="s">
        <v>244</v>
      </c>
      <c r="K236" s="118"/>
      <c r="L236" s="119">
        <v>0</v>
      </c>
      <c r="M236" s="120" t="s">
        <v>244</v>
      </c>
      <c r="N236" s="121" t="s">
        <v>244</v>
      </c>
      <c r="O236" s="122" t="s">
        <v>244</v>
      </c>
      <c r="P236" s="123" t="s">
        <v>244</v>
      </c>
      <c r="Q236" s="124"/>
      <c r="R236" s="135"/>
      <c r="S236" s="136"/>
      <c r="T236" s="137"/>
      <c r="U236" s="138" t="s">
        <v>244</v>
      </c>
      <c r="V236" s="138" t="s">
        <v>244</v>
      </c>
      <c r="W236" s="139" t="s">
        <v>244</v>
      </c>
      <c r="X236" s="139" t="s">
        <v>244</v>
      </c>
      <c r="Y236" s="54">
        <v>0</v>
      </c>
    </row>
    <row r="237" spans="2:25" s="49" customFormat="1" ht="15.75" x14ac:dyDescent="0.25">
      <c r="B237" s="133"/>
      <c r="C237" s="134"/>
      <c r="D237" s="113"/>
      <c r="E237" s="114"/>
      <c r="F237" s="173"/>
      <c r="G237" s="116" t="s">
        <v>244</v>
      </c>
      <c r="H237" s="116" t="s">
        <v>244</v>
      </c>
      <c r="I237" s="113"/>
      <c r="J237" s="117" t="s">
        <v>244</v>
      </c>
      <c r="K237" s="118"/>
      <c r="L237" s="119">
        <v>0</v>
      </c>
      <c r="M237" s="120" t="s">
        <v>244</v>
      </c>
      <c r="N237" s="121" t="s">
        <v>244</v>
      </c>
      <c r="O237" s="122" t="s">
        <v>244</v>
      </c>
      <c r="P237" s="123" t="s">
        <v>244</v>
      </c>
      <c r="Q237" s="124"/>
      <c r="R237" s="135"/>
      <c r="S237" s="136"/>
      <c r="T237" s="137"/>
      <c r="U237" s="138" t="s">
        <v>244</v>
      </c>
      <c r="V237" s="138" t="s">
        <v>244</v>
      </c>
      <c r="W237" s="139" t="s">
        <v>244</v>
      </c>
      <c r="X237" s="139" t="s">
        <v>244</v>
      </c>
      <c r="Y237" s="54">
        <v>0</v>
      </c>
    </row>
    <row r="238" spans="2:25" s="49" customFormat="1" ht="15.75" x14ac:dyDescent="0.25">
      <c r="B238" s="133"/>
      <c r="C238" s="134"/>
      <c r="D238" s="113"/>
      <c r="E238" s="114"/>
      <c r="F238" s="173"/>
      <c r="G238" s="116" t="s">
        <v>244</v>
      </c>
      <c r="H238" s="116" t="s">
        <v>244</v>
      </c>
      <c r="I238" s="113"/>
      <c r="J238" s="117" t="s">
        <v>244</v>
      </c>
      <c r="K238" s="118"/>
      <c r="L238" s="119">
        <v>0</v>
      </c>
      <c r="M238" s="120" t="s">
        <v>244</v>
      </c>
      <c r="N238" s="121" t="s">
        <v>244</v>
      </c>
      <c r="O238" s="122" t="s">
        <v>244</v>
      </c>
      <c r="P238" s="123" t="s">
        <v>244</v>
      </c>
      <c r="Q238" s="124"/>
      <c r="R238" s="135"/>
      <c r="S238" s="136"/>
      <c r="T238" s="137"/>
      <c r="U238" s="138" t="s">
        <v>244</v>
      </c>
      <c r="V238" s="138" t="s">
        <v>244</v>
      </c>
      <c r="W238" s="139" t="s">
        <v>244</v>
      </c>
      <c r="X238" s="139" t="s">
        <v>244</v>
      </c>
      <c r="Y238" s="54">
        <v>0</v>
      </c>
    </row>
    <row r="239" spans="2:25" s="49" customFormat="1" ht="15.75" x14ac:dyDescent="0.25">
      <c r="B239" s="133"/>
      <c r="C239" s="134"/>
      <c r="D239" s="113"/>
      <c r="E239" s="114"/>
      <c r="F239" s="173"/>
      <c r="G239" s="116" t="s">
        <v>244</v>
      </c>
      <c r="H239" s="116" t="s">
        <v>244</v>
      </c>
      <c r="I239" s="113"/>
      <c r="J239" s="117" t="s">
        <v>244</v>
      </c>
      <c r="K239" s="118"/>
      <c r="L239" s="119">
        <v>0</v>
      </c>
      <c r="M239" s="120" t="s">
        <v>244</v>
      </c>
      <c r="N239" s="121" t="s">
        <v>244</v>
      </c>
      <c r="O239" s="122" t="s">
        <v>244</v>
      </c>
      <c r="P239" s="123" t="s">
        <v>244</v>
      </c>
      <c r="Q239" s="124"/>
      <c r="R239" s="135"/>
      <c r="S239" s="136"/>
      <c r="T239" s="137"/>
      <c r="U239" s="138" t="s">
        <v>244</v>
      </c>
      <c r="V239" s="138" t="s">
        <v>244</v>
      </c>
      <c r="W239" s="139" t="s">
        <v>244</v>
      </c>
      <c r="X239" s="139" t="s">
        <v>244</v>
      </c>
      <c r="Y239" s="54">
        <v>0</v>
      </c>
    </row>
    <row r="240" spans="2:25" s="49" customFormat="1" ht="15.75" x14ac:dyDescent="0.25">
      <c r="B240" s="133"/>
      <c r="C240" s="134"/>
      <c r="D240" s="113"/>
      <c r="E240" s="114"/>
      <c r="F240" s="173"/>
      <c r="G240" s="116" t="s">
        <v>244</v>
      </c>
      <c r="H240" s="116" t="s">
        <v>244</v>
      </c>
      <c r="I240" s="113"/>
      <c r="J240" s="117" t="s">
        <v>244</v>
      </c>
      <c r="K240" s="118"/>
      <c r="L240" s="119">
        <v>0</v>
      </c>
      <c r="M240" s="120" t="s">
        <v>244</v>
      </c>
      <c r="N240" s="121" t="s">
        <v>244</v>
      </c>
      <c r="O240" s="122" t="s">
        <v>244</v>
      </c>
      <c r="P240" s="123" t="s">
        <v>244</v>
      </c>
      <c r="Q240" s="124"/>
      <c r="R240" s="135"/>
      <c r="S240" s="136"/>
      <c r="T240" s="137"/>
      <c r="U240" s="138" t="s">
        <v>244</v>
      </c>
      <c r="V240" s="138" t="s">
        <v>244</v>
      </c>
      <c r="W240" s="139" t="s">
        <v>244</v>
      </c>
      <c r="X240" s="139" t="s">
        <v>244</v>
      </c>
      <c r="Y240" s="54">
        <v>0</v>
      </c>
    </row>
    <row r="241" spans="2:25" s="49" customFormat="1" ht="15.75" x14ac:dyDescent="0.25">
      <c r="B241" s="133"/>
      <c r="C241" s="134"/>
      <c r="D241" s="113"/>
      <c r="E241" s="114"/>
      <c r="F241" s="173"/>
      <c r="G241" s="116" t="s">
        <v>244</v>
      </c>
      <c r="H241" s="116" t="s">
        <v>244</v>
      </c>
      <c r="I241" s="113"/>
      <c r="J241" s="117" t="s">
        <v>244</v>
      </c>
      <c r="K241" s="118"/>
      <c r="L241" s="119">
        <v>0</v>
      </c>
      <c r="M241" s="120" t="s">
        <v>244</v>
      </c>
      <c r="N241" s="121" t="s">
        <v>244</v>
      </c>
      <c r="O241" s="122" t="s">
        <v>244</v>
      </c>
      <c r="P241" s="123" t="s">
        <v>244</v>
      </c>
      <c r="Q241" s="124"/>
      <c r="R241" s="135"/>
      <c r="S241" s="136"/>
      <c r="T241" s="137"/>
      <c r="U241" s="138" t="s">
        <v>244</v>
      </c>
      <c r="V241" s="138" t="s">
        <v>244</v>
      </c>
      <c r="W241" s="139" t="s">
        <v>244</v>
      </c>
      <c r="X241" s="139" t="s">
        <v>244</v>
      </c>
      <c r="Y241" s="54">
        <v>0</v>
      </c>
    </row>
    <row r="242" spans="2:25" s="49" customFormat="1" ht="15.75" x14ac:dyDescent="0.25">
      <c r="B242" s="133"/>
      <c r="C242" s="134"/>
      <c r="D242" s="113"/>
      <c r="E242" s="114"/>
      <c r="F242" s="173"/>
      <c r="G242" s="116" t="s">
        <v>244</v>
      </c>
      <c r="H242" s="116" t="s">
        <v>244</v>
      </c>
      <c r="I242" s="113"/>
      <c r="J242" s="117" t="s">
        <v>244</v>
      </c>
      <c r="K242" s="118"/>
      <c r="L242" s="119">
        <v>0</v>
      </c>
      <c r="M242" s="120" t="s">
        <v>244</v>
      </c>
      <c r="N242" s="121" t="s">
        <v>244</v>
      </c>
      <c r="O242" s="122" t="s">
        <v>244</v>
      </c>
      <c r="P242" s="123" t="s">
        <v>244</v>
      </c>
      <c r="Q242" s="124"/>
      <c r="R242" s="135"/>
      <c r="S242" s="136"/>
      <c r="T242" s="137"/>
      <c r="U242" s="138" t="s">
        <v>244</v>
      </c>
      <c r="V242" s="138" t="s">
        <v>244</v>
      </c>
      <c r="W242" s="139" t="s">
        <v>244</v>
      </c>
      <c r="X242" s="139" t="s">
        <v>244</v>
      </c>
      <c r="Y242" s="54">
        <v>0</v>
      </c>
    </row>
    <row r="243" spans="2:25" s="49" customFormat="1" ht="15.75" x14ac:dyDescent="0.25">
      <c r="B243" s="133"/>
      <c r="C243" s="134"/>
      <c r="D243" s="113"/>
      <c r="E243" s="114"/>
      <c r="F243" s="173"/>
      <c r="G243" s="116" t="s">
        <v>244</v>
      </c>
      <c r="H243" s="116" t="s">
        <v>244</v>
      </c>
      <c r="I243" s="113"/>
      <c r="J243" s="117" t="s">
        <v>244</v>
      </c>
      <c r="K243" s="118"/>
      <c r="L243" s="119">
        <v>0</v>
      </c>
      <c r="M243" s="120" t="s">
        <v>244</v>
      </c>
      <c r="N243" s="121" t="s">
        <v>244</v>
      </c>
      <c r="O243" s="122" t="s">
        <v>244</v>
      </c>
      <c r="P243" s="123" t="s">
        <v>244</v>
      </c>
      <c r="Q243" s="124"/>
      <c r="R243" s="135"/>
      <c r="S243" s="136"/>
      <c r="T243" s="137"/>
      <c r="U243" s="138" t="s">
        <v>244</v>
      </c>
      <c r="V243" s="138" t="s">
        <v>244</v>
      </c>
      <c r="W243" s="139" t="s">
        <v>244</v>
      </c>
      <c r="X243" s="139" t="s">
        <v>244</v>
      </c>
      <c r="Y243" s="54">
        <v>0</v>
      </c>
    </row>
    <row r="244" spans="2:25" s="49" customFormat="1" ht="15.75" x14ac:dyDescent="0.25">
      <c r="B244" s="133"/>
      <c r="C244" s="134"/>
      <c r="D244" s="113"/>
      <c r="E244" s="114"/>
      <c r="F244" s="173"/>
      <c r="G244" s="116" t="s">
        <v>244</v>
      </c>
      <c r="H244" s="116" t="s">
        <v>244</v>
      </c>
      <c r="I244" s="113"/>
      <c r="J244" s="117" t="s">
        <v>244</v>
      </c>
      <c r="K244" s="118"/>
      <c r="L244" s="119">
        <v>0</v>
      </c>
      <c r="M244" s="120" t="s">
        <v>244</v>
      </c>
      <c r="N244" s="121" t="s">
        <v>244</v>
      </c>
      <c r="O244" s="122" t="s">
        <v>244</v>
      </c>
      <c r="P244" s="123" t="s">
        <v>244</v>
      </c>
      <c r="Q244" s="124"/>
      <c r="R244" s="135"/>
      <c r="S244" s="136"/>
      <c r="T244" s="137"/>
      <c r="U244" s="138" t="s">
        <v>244</v>
      </c>
      <c r="V244" s="138" t="s">
        <v>244</v>
      </c>
      <c r="W244" s="139" t="s">
        <v>244</v>
      </c>
      <c r="X244" s="139" t="s">
        <v>244</v>
      </c>
      <c r="Y244" s="54">
        <v>0</v>
      </c>
    </row>
    <row r="245" spans="2:25" s="49" customFormat="1" ht="15.75" x14ac:dyDescent="0.25">
      <c r="B245" s="133"/>
      <c r="C245" s="134"/>
      <c r="D245" s="113"/>
      <c r="E245" s="114"/>
      <c r="F245" s="173"/>
      <c r="G245" s="116" t="s">
        <v>244</v>
      </c>
      <c r="H245" s="116" t="s">
        <v>244</v>
      </c>
      <c r="I245" s="113"/>
      <c r="J245" s="117" t="s">
        <v>244</v>
      </c>
      <c r="K245" s="118"/>
      <c r="L245" s="119">
        <v>0</v>
      </c>
      <c r="M245" s="120" t="s">
        <v>244</v>
      </c>
      <c r="N245" s="121" t="s">
        <v>244</v>
      </c>
      <c r="O245" s="122" t="s">
        <v>244</v>
      </c>
      <c r="P245" s="123" t="s">
        <v>244</v>
      </c>
      <c r="Q245" s="124"/>
      <c r="R245" s="135"/>
      <c r="S245" s="136"/>
      <c r="T245" s="137"/>
      <c r="U245" s="138" t="s">
        <v>244</v>
      </c>
      <c r="V245" s="138" t="s">
        <v>244</v>
      </c>
      <c r="W245" s="139" t="s">
        <v>244</v>
      </c>
      <c r="X245" s="139" t="s">
        <v>244</v>
      </c>
      <c r="Y245" s="54">
        <v>0</v>
      </c>
    </row>
    <row r="246" spans="2:25" s="49" customFormat="1" ht="15.75" x14ac:dyDescent="0.25">
      <c r="B246" s="133"/>
      <c r="C246" s="134"/>
      <c r="D246" s="113"/>
      <c r="E246" s="114"/>
      <c r="F246" s="173"/>
      <c r="G246" s="116" t="s">
        <v>244</v>
      </c>
      <c r="H246" s="116" t="s">
        <v>244</v>
      </c>
      <c r="I246" s="113"/>
      <c r="J246" s="117" t="s">
        <v>244</v>
      </c>
      <c r="K246" s="118"/>
      <c r="L246" s="119">
        <v>0</v>
      </c>
      <c r="M246" s="120" t="s">
        <v>244</v>
      </c>
      <c r="N246" s="121" t="s">
        <v>244</v>
      </c>
      <c r="O246" s="122" t="s">
        <v>244</v>
      </c>
      <c r="P246" s="123" t="s">
        <v>244</v>
      </c>
      <c r="Q246" s="124"/>
      <c r="R246" s="135"/>
      <c r="S246" s="136"/>
      <c r="T246" s="137"/>
      <c r="U246" s="138" t="s">
        <v>244</v>
      </c>
      <c r="V246" s="138" t="s">
        <v>244</v>
      </c>
      <c r="W246" s="139" t="s">
        <v>244</v>
      </c>
      <c r="X246" s="139" t="s">
        <v>244</v>
      </c>
      <c r="Y246" s="54">
        <v>0</v>
      </c>
    </row>
    <row r="247" spans="2:25" s="49" customFormat="1" ht="15.75" x14ac:dyDescent="0.25">
      <c r="B247" s="133"/>
      <c r="C247" s="134"/>
      <c r="D247" s="113"/>
      <c r="E247" s="114"/>
      <c r="F247" s="173"/>
      <c r="G247" s="116" t="s">
        <v>244</v>
      </c>
      <c r="H247" s="116" t="s">
        <v>244</v>
      </c>
      <c r="I247" s="113"/>
      <c r="J247" s="117" t="s">
        <v>244</v>
      </c>
      <c r="K247" s="118"/>
      <c r="L247" s="119">
        <v>0</v>
      </c>
      <c r="M247" s="120" t="s">
        <v>244</v>
      </c>
      <c r="N247" s="121" t="s">
        <v>244</v>
      </c>
      <c r="O247" s="122" t="s">
        <v>244</v>
      </c>
      <c r="P247" s="123" t="s">
        <v>244</v>
      </c>
      <c r="Q247" s="124"/>
      <c r="R247" s="135"/>
      <c r="S247" s="136"/>
      <c r="T247" s="137"/>
      <c r="U247" s="138" t="s">
        <v>244</v>
      </c>
      <c r="V247" s="138" t="s">
        <v>244</v>
      </c>
      <c r="W247" s="139" t="s">
        <v>244</v>
      </c>
      <c r="X247" s="139" t="s">
        <v>244</v>
      </c>
      <c r="Y247" s="54">
        <v>0</v>
      </c>
    </row>
    <row r="248" spans="2:25" s="49" customFormat="1" ht="15.75" x14ac:dyDescent="0.25">
      <c r="B248" s="133"/>
      <c r="C248" s="134"/>
      <c r="D248" s="113"/>
      <c r="E248" s="114"/>
      <c r="F248" s="173"/>
      <c r="G248" s="116" t="s">
        <v>244</v>
      </c>
      <c r="H248" s="116" t="s">
        <v>244</v>
      </c>
      <c r="I248" s="113"/>
      <c r="J248" s="117" t="s">
        <v>244</v>
      </c>
      <c r="K248" s="118"/>
      <c r="L248" s="119">
        <v>0</v>
      </c>
      <c r="M248" s="120" t="s">
        <v>244</v>
      </c>
      <c r="N248" s="121" t="s">
        <v>244</v>
      </c>
      <c r="O248" s="122" t="s">
        <v>244</v>
      </c>
      <c r="P248" s="123" t="s">
        <v>244</v>
      </c>
      <c r="Q248" s="124"/>
      <c r="R248" s="135"/>
      <c r="S248" s="136"/>
      <c r="T248" s="137"/>
      <c r="U248" s="138" t="s">
        <v>244</v>
      </c>
      <c r="V248" s="138" t="s">
        <v>244</v>
      </c>
      <c r="W248" s="139" t="s">
        <v>244</v>
      </c>
      <c r="X248" s="139" t="s">
        <v>244</v>
      </c>
      <c r="Y248" s="54">
        <v>0</v>
      </c>
    </row>
    <row r="249" spans="2:25" s="49" customFormat="1" ht="15.75" x14ac:dyDescent="0.25">
      <c r="B249" s="133"/>
      <c r="C249" s="134"/>
      <c r="D249" s="113"/>
      <c r="E249" s="114"/>
      <c r="F249" s="173"/>
      <c r="G249" s="116" t="s">
        <v>244</v>
      </c>
      <c r="H249" s="116" t="s">
        <v>244</v>
      </c>
      <c r="I249" s="113"/>
      <c r="J249" s="117" t="s">
        <v>244</v>
      </c>
      <c r="K249" s="118"/>
      <c r="L249" s="119">
        <v>0</v>
      </c>
      <c r="M249" s="120" t="s">
        <v>244</v>
      </c>
      <c r="N249" s="121" t="s">
        <v>244</v>
      </c>
      <c r="O249" s="122" t="s">
        <v>244</v>
      </c>
      <c r="P249" s="123" t="s">
        <v>244</v>
      </c>
      <c r="Q249" s="124"/>
      <c r="R249" s="135"/>
      <c r="S249" s="136"/>
      <c r="T249" s="137"/>
      <c r="U249" s="138" t="s">
        <v>244</v>
      </c>
      <c r="V249" s="138" t="s">
        <v>244</v>
      </c>
      <c r="W249" s="139" t="s">
        <v>244</v>
      </c>
      <c r="X249" s="139" t="s">
        <v>244</v>
      </c>
      <c r="Y249" s="54">
        <v>0</v>
      </c>
    </row>
    <row r="250" spans="2:25" s="49" customFormat="1" ht="15.75" x14ac:dyDescent="0.25">
      <c r="B250" s="133"/>
      <c r="C250" s="134"/>
      <c r="D250" s="113"/>
      <c r="E250" s="114"/>
      <c r="F250" s="173"/>
      <c r="G250" s="116" t="s">
        <v>244</v>
      </c>
      <c r="H250" s="116" t="s">
        <v>244</v>
      </c>
      <c r="I250" s="113"/>
      <c r="J250" s="117" t="s">
        <v>244</v>
      </c>
      <c r="K250" s="118"/>
      <c r="L250" s="119">
        <v>0</v>
      </c>
      <c r="M250" s="120" t="s">
        <v>244</v>
      </c>
      <c r="N250" s="121" t="s">
        <v>244</v>
      </c>
      <c r="O250" s="122" t="s">
        <v>244</v>
      </c>
      <c r="P250" s="123" t="s">
        <v>244</v>
      </c>
      <c r="Q250" s="124"/>
      <c r="R250" s="135"/>
      <c r="S250" s="136"/>
      <c r="T250" s="137"/>
      <c r="U250" s="138" t="s">
        <v>244</v>
      </c>
      <c r="V250" s="138" t="s">
        <v>244</v>
      </c>
      <c r="W250" s="139" t="s">
        <v>244</v>
      </c>
      <c r="X250" s="139" t="s">
        <v>244</v>
      </c>
      <c r="Y250" s="54">
        <v>0</v>
      </c>
    </row>
    <row r="251" spans="2:25" s="49" customFormat="1" ht="15.75" x14ac:dyDescent="0.25">
      <c r="B251" s="133"/>
      <c r="C251" s="134"/>
      <c r="D251" s="113"/>
      <c r="E251" s="114"/>
      <c r="F251" s="173"/>
      <c r="G251" s="116" t="s">
        <v>244</v>
      </c>
      <c r="H251" s="116" t="s">
        <v>244</v>
      </c>
      <c r="I251" s="113"/>
      <c r="J251" s="117" t="s">
        <v>244</v>
      </c>
      <c r="K251" s="118"/>
      <c r="L251" s="119">
        <v>0</v>
      </c>
      <c r="M251" s="120" t="s">
        <v>244</v>
      </c>
      <c r="N251" s="121" t="s">
        <v>244</v>
      </c>
      <c r="O251" s="122" t="s">
        <v>244</v>
      </c>
      <c r="P251" s="123" t="s">
        <v>244</v>
      </c>
      <c r="Q251" s="124"/>
      <c r="R251" s="135"/>
      <c r="S251" s="136"/>
      <c r="T251" s="137"/>
      <c r="U251" s="138" t="s">
        <v>244</v>
      </c>
      <c r="V251" s="138" t="s">
        <v>244</v>
      </c>
      <c r="W251" s="139" t="s">
        <v>244</v>
      </c>
      <c r="X251" s="139" t="s">
        <v>244</v>
      </c>
      <c r="Y251" s="54">
        <v>0</v>
      </c>
    </row>
    <row r="252" spans="2:25" s="49" customFormat="1" ht="15.75" x14ac:dyDescent="0.25">
      <c r="B252" s="133"/>
      <c r="C252" s="134"/>
      <c r="D252" s="113"/>
      <c r="E252" s="114"/>
      <c r="F252" s="173"/>
      <c r="G252" s="116" t="s">
        <v>244</v>
      </c>
      <c r="H252" s="116" t="s">
        <v>244</v>
      </c>
      <c r="I252" s="113"/>
      <c r="J252" s="117" t="s">
        <v>244</v>
      </c>
      <c r="K252" s="118"/>
      <c r="L252" s="119">
        <v>0</v>
      </c>
      <c r="M252" s="120" t="s">
        <v>244</v>
      </c>
      <c r="N252" s="121" t="s">
        <v>244</v>
      </c>
      <c r="O252" s="122" t="s">
        <v>244</v>
      </c>
      <c r="P252" s="123" t="s">
        <v>244</v>
      </c>
      <c r="Q252" s="124"/>
      <c r="R252" s="135"/>
      <c r="S252" s="136"/>
      <c r="T252" s="137"/>
      <c r="U252" s="138" t="s">
        <v>244</v>
      </c>
      <c r="V252" s="138" t="s">
        <v>244</v>
      </c>
      <c r="W252" s="139" t="s">
        <v>244</v>
      </c>
      <c r="X252" s="139" t="s">
        <v>244</v>
      </c>
      <c r="Y252" s="54">
        <v>0</v>
      </c>
    </row>
    <row r="253" spans="2:25" s="49" customFormat="1" ht="15.75" x14ac:dyDescent="0.25">
      <c r="B253" s="133"/>
      <c r="C253" s="134"/>
      <c r="D253" s="113"/>
      <c r="E253" s="114"/>
      <c r="F253" s="173"/>
      <c r="G253" s="116" t="s">
        <v>244</v>
      </c>
      <c r="H253" s="116" t="s">
        <v>244</v>
      </c>
      <c r="I253" s="113"/>
      <c r="J253" s="117" t="s">
        <v>244</v>
      </c>
      <c r="K253" s="118"/>
      <c r="L253" s="119">
        <v>0</v>
      </c>
      <c r="M253" s="120" t="s">
        <v>244</v>
      </c>
      <c r="N253" s="121" t="s">
        <v>244</v>
      </c>
      <c r="O253" s="122" t="s">
        <v>244</v>
      </c>
      <c r="P253" s="123" t="s">
        <v>244</v>
      </c>
      <c r="Q253" s="124"/>
      <c r="R253" s="135"/>
      <c r="S253" s="136"/>
      <c r="T253" s="137"/>
      <c r="U253" s="138" t="s">
        <v>244</v>
      </c>
      <c r="V253" s="138" t="s">
        <v>244</v>
      </c>
      <c r="W253" s="139" t="s">
        <v>244</v>
      </c>
      <c r="X253" s="139" t="s">
        <v>244</v>
      </c>
      <c r="Y253" s="54">
        <v>0</v>
      </c>
    </row>
    <row r="254" spans="2:25" s="49" customFormat="1" ht="15.75" x14ac:dyDescent="0.25">
      <c r="B254" s="133"/>
      <c r="C254" s="134"/>
      <c r="D254" s="113"/>
      <c r="E254" s="114"/>
      <c r="F254" s="173"/>
      <c r="G254" s="116" t="s">
        <v>244</v>
      </c>
      <c r="H254" s="116" t="s">
        <v>244</v>
      </c>
      <c r="I254" s="113"/>
      <c r="J254" s="117" t="s">
        <v>244</v>
      </c>
      <c r="K254" s="118"/>
      <c r="L254" s="119">
        <v>0</v>
      </c>
      <c r="M254" s="120" t="s">
        <v>244</v>
      </c>
      <c r="N254" s="121" t="s">
        <v>244</v>
      </c>
      <c r="O254" s="122" t="s">
        <v>244</v>
      </c>
      <c r="P254" s="123" t="s">
        <v>244</v>
      </c>
      <c r="Q254" s="124"/>
      <c r="R254" s="135"/>
      <c r="S254" s="136"/>
      <c r="T254" s="137"/>
      <c r="U254" s="138" t="s">
        <v>244</v>
      </c>
      <c r="V254" s="138" t="s">
        <v>244</v>
      </c>
      <c r="W254" s="139" t="s">
        <v>244</v>
      </c>
      <c r="X254" s="139" t="s">
        <v>244</v>
      </c>
      <c r="Y254" s="54">
        <v>0</v>
      </c>
    </row>
    <row r="255" spans="2:25" s="49" customFormat="1" ht="15.75" x14ac:dyDescent="0.25">
      <c r="B255" s="133"/>
      <c r="C255" s="134"/>
      <c r="D255" s="113"/>
      <c r="E255" s="114"/>
      <c r="F255" s="173"/>
      <c r="G255" s="116" t="s">
        <v>244</v>
      </c>
      <c r="H255" s="116" t="s">
        <v>244</v>
      </c>
      <c r="I255" s="113"/>
      <c r="J255" s="117" t="s">
        <v>244</v>
      </c>
      <c r="K255" s="118"/>
      <c r="L255" s="119">
        <v>0</v>
      </c>
      <c r="M255" s="120" t="s">
        <v>244</v>
      </c>
      <c r="N255" s="121" t="s">
        <v>244</v>
      </c>
      <c r="O255" s="122" t="s">
        <v>244</v>
      </c>
      <c r="P255" s="123" t="s">
        <v>244</v>
      </c>
      <c r="Q255" s="124"/>
      <c r="R255" s="135"/>
      <c r="S255" s="136"/>
      <c r="T255" s="137"/>
      <c r="U255" s="138" t="s">
        <v>244</v>
      </c>
      <c r="V255" s="138" t="s">
        <v>244</v>
      </c>
      <c r="W255" s="139" t="s">
        <v>244</v>
      </c>
      <c r="X255" s="139" t="s">
        <v>244</v>
      </c>
      <c r="Y255" s="54">
        <v>0</v>
      </c>
    </row>
    <row r="256" spans="2:25" s="49" customFormat="1" ht="15.75" x14ac:dyDescent="0.25">
      <c r="B256" s="133"/>
      <c r="C256" s="134"/>
      <c r="D256" s="113"/>
      <c r="E256" s="114"/>
      <c r="F256" s="173"/>
      <c r="G256" s="116" t="s">
        <v>244</v>
      </c>
      <c r="H256" s="116" t="s">
        <v>244</v>
      </c>
      <c r="I256" s="113"/>
      <c r="J256" s="117" t="s">
        <v>244</v>
      </c>
      <c r="K256" s="118"/>
      <c r="L256" s="119">
        <v>0</v>
      </c>
      <c r="M256" s="120" t="s">
        <v>244</v>
      </c>
      <c r="N256" s="121" t="s">
        <v>244</v>
      </c>
      <c r="O256" s="122" t="s">
        <v>244</v>
      </c>
      <c r="P256" s="123" t="s">
        <v>244</v>
      </c>
      <c r="Q256" s="124"/>
      <c r="R256" s="135"/>
      <c r="S256" s="136"/>
      <c r="T256" s="137"/>
      <c r="U256" s="138" t="s">
        <v>244</v>
      </c>
      <c r="V256" s="138" t="s">
        <v>244</v>
      </c>
      <c r="W256" s="139" t="s">
        <v>244</v>
      </c>
      <c r="X256" s="139" t="s">
        <v>244</v>
      </c>
      <c r="Y256" s="54">
        <v>0</v>
      </c>
    </row>
    <row r="257" spans="2:25" s="49" customFormat="1" ht="15.75" x14ac:dyDescent="0.25">
      <c r="B257" s="133"/>
      <c r="C257" s="134"/>
      <c r="D257" s="113"/>
      <c r="E257" s="114"/>
      <c r="F257" s="173"/>
      <c r="G257" s="116" t="s">
        <v>244</v>
      </c>
      <c r="H257" s="116" t="s">
        <v>244</v>
      </c>
      <c r="I257" s="113"/>
      <c r="J257" s="117" t="s">
        <v>244</v>
      </c>
      <c r="K257" s="118"/>
      <c r="L257" s="119">
        <v>0</v>
      </c>
      <c r="M257" s="120" t="s">
        <v>244</v>
      </c>
      <c r="N257" s="121" t="s">
        <v>244</v>
      </c>
      <c r="O257" s="122" t="s">
        <v>244</v>
      </c>
      <c r="P257" s="123" t="s">
        <v>244</v>
      </c>
      <c r="Q257" s="124"/>
      <c r="R257" s="135"/>
      <c r="S257" s="136"/>
      <c r="T257" s="137"/>
      <c r="U257" s="138" t="s">
        <v>244</v>
      </c>
      <c r="V257" s="138" t="s">
        <v>244</v>
      </c>
      <c r="W257" s="139" t="s">
        <v>244</v>
      </c>
      <c r="X257" s="139" t="s">
        <v>244</v>
      </c>
      <c r="Y257" s="54">
        <v>0</v>
      </c>
    </row>
    <row r="258" spans="2:25" s="49" customFormat="1" ht="15.75" x14ac:dyDescent="0.25">
      <c r="B258" s="133"/>
      <c r="C258" s="134"/>
      <c r="D258" s="113"/>
      <c r="E258" s="114"/>
      <c r="F258" s="173"/>
      <c r="G258" s="116" t="s">
        <v>244</v>
      </c>
      <c r="H258" s="116" t="s">
        <v>244</v>
      </c>
      <c r="I258" s="113"/>
      <c r="J258" s="117" t="s">
        <v>244</v>
      </c>
      <c r="K258" s="118"/>
      <c r="L258" s="119">
        <v>0</v>
      </c>
      <c r="M258" s="120" t="s">
        <v>244</v>
      </c>
      <c r="N258" s="121" t="s">
        <v>244</v>
      </c>
      <c r="O258" s="122" t="s">
        <v>244</v>
      </c>
      <c r="P258" s="123" t="s">
        <v>244</v>
      </c>
      <c r="Q258" s="124"/>
      <c r="R258" s="135"/>
      <c r="S258" s="136"/>
      <c r="T258" s="137"/>
      <c r="U258" s="138" t="s">
        <v>244</v>
      </c>
      <c r="V258" s="138" t="s">
        <v>244</v>
      </c>
      <c r="W258" s="139" t="s">
        <v>244</v>
      </c>
      <c r="X258" s="139" t="s">
        <v>244</v>
      </c>
      <c r="Y258" s="54">
        <v>0</v>
      </c>
    </row>
    <row r="259" spans="2:25" s="49" customFormat="1" ht="15.75" x14ac:dyDescent="0.25">
      <c r="B259" s="133"/>
      <c r="C259" s="134"/>
      <c r="D259" s="113"/>
      <c r="E259" s="114"/>
      <c r="F259" s="173"/>
      <c r="G259" s="116" t="s">
        <v>244</v>
      </c>
      <c r="H259" s="116" t="s">
        <v>244</v>
      </c>
      <c r="I259" s="113"/>
      <c r="J259" s="117" t="s">
        <v>244</v>
      </c>
      <c r="K259" s="118"/>
      <c r="L259" s="119">
        <v>0</v>
      </c>
      <c r="M259" s="120" t="s">
        <v>244</v>
      </c>
      <c r="N259" s="121" t="s">
        <v>244</v>
      </c>
      <c r="O259" s="122" t="s">
        <v>244</v>
      </c>
      <c r="P259" s="123" t="s">
        <v>244</v>
      </c>
      <c r="Q259" s="124"/>
      <c r="R259" s="135"/>
      <c r="S259" s="136"/>
      <c r="T259" s="137"/>
      <c r="U259" s="138" t="s">
        <v>244</v>
      </c>
      <c r="V259" s="138" t="s">
        <v>244</v>
      </c>
      <c r="W259" s="139" t="s">
        <v>244</v>
      </c>
      <c r="X259" s="139" t="s">
        <v>244</v>
      </c>
      <c r="Y259" s="54">
        <v>0</v>
      </c>
    </row>
    <row r="260" spans="2:25" s="49" customFormat="1" ht="15.75" x14ac:dyDescent="0.25">
      <c r="B260" s="133"/>
      <c r="C260" s="134"/>
      <c r="D260" s="113"/>
      <c r="E260" s="114"/>
      <c r="F260" s="173"/>
      <c r="G260" s="116" t="s">
        <v>244</v>
      </c>
      <c r="H260" s="116" t="s">
        <v>244</v>
      </c>
      <c r="I260" s="113"/>
      <c r="J260" s="117" t="s">
        <v>244</v>
      </c>
      <c r="K260" s="118"/>
      <c r="L260" s="119">
        <v>0</v>
      </c>
      <c r="M260" s="120" t="s">
        <v>244</v>
      </c>
      <c r="N260" s="121" t="s">
        <v>244</v>
      </c>
      <c r="O260" s="122" t="s">
        <v>244</v>
      </c>
      <c r="P260" s="123" t="s">
        <v>244</v>
      </c>
      <c r="Q260" s="124"/>
      <c r="R260" s="135"/>
      <c r="S260" s="136"/>
      <c r="T260" s="137"/>
      <c r="U260" s="138" t="s">
        <v>244</v>
      </c>
      <c r="V260" s="138" t="s">
        <v>244</v>
      </c>
      <c r="W260" s="139" t="s">
        <v>244</v>
      </c>
      <c r="X260" s="139" t="s">
        <v>244</v>
      </c>
      <c r="Y260" s="54">
        <v>0</v>
      </c>
    </row>
    <row r="261" spans="2:25" s="49" customFormat="1" ht="15.75" x14ac:dyDescent="0.25">
      <c r="B261" s="133"/>
      <c r="C261" s="134"/>
      <c r="D261" s="113"/>
      <c r="E261" s="114"/>
      <c r="F261" s="173"/>
      <c r="G261" s="116" t="s">
        <v>244</v>
      </c>
      <c r="H261" s="116" t="s">
        <v>244</v>
      </c>
      <c r="I261" s="113"/>
      <c r="J261" s="117" t="s">
        <v>244</v>
      </c>
      <c r="K261" s="118"/>
      <c r="L261" s="119">
        <v>0</v>
      </c>
      <c r="M261" s="120" t="s">
        <v>244</v>
      </c>
      <c r="N261" s="121" t="s">
        <v>244</v>
      </c>
      <c r="O261" s="122" t="s">
        <v>244</v>
      </c>
      <c r="P261" s="123" t="s">
        <v>244</v>
      </c>
      <c r="Q261" s="124"/>
      <c r="R261" s="135"/>
      <c r="S261" s="136"/>
      <c r="T261" s="137"/>
      <c r="U261" s="138" t="s">
        <v>244</v>
      </c>
      <c r="V261" s="138" t="s">
        <v>244</v>
      </c>
      <c r="W261" s="139" t="s">
        <v>244</v>
      </c>
      <c r="X261" s="139" t="s">
        <v>244</v>
      </c>
      <c r="Y261" s="54">
        <v>0</v>
      </c>
    </row>
    <row r="262" spans="2:25" s="49" customFormat="1" ht="15.75" x14ac:dyDescent="0.25">
      <c r="B262" s="133"/>
      <c r="C262" s="134"/>
      <c r="D262" s="113"/>
      <c r="E262" s="114"/>
      <c r="F262" s="173"/>
      <c r="G262" s="116" t="s">
        <v>244</v>
      </c>
      <c r="H262" s="116" t="s">
        <v>244</v>
      </c>
      <c r="I262" s="113"/>
      <c r="J262" s="117" t="s">
        <v>244</v>
      </c>
      <c r="K262" s="118"/>
      <c r="L262" s="119">
        <v>0</v>
      </c>
      <c r="M262" s="120" t="s">
        <v>244</v>
      </c>
      <c r="N262" s="121" t="s">
        <v>244</v>
      </c>
      <c r="O262" s="122" t="s">
        <v>244</v>
      </c>
      <c r="P262" s="123" t="s">
        <v>244</v>
      </c>
      <c r="Q262" s="124"/>
      <c r="R262" s="135"/>
      <c r="S262" s="136"/>
      <c r="T262" s="137"/>
      <c r="U262" s="138" t="s">
        <v>244</v>
      </c>
      <c r="V262" s="138" t="s">
        <v>244</v>
      </c>
      <c r="W262" s="139" t="s">
        <v>244</v>
      </c>
      <c r="X262" s="139" t="s">
        <v>244</v>
      </c>
      <c r="Y262" s="54">
        <v>0</v>
      </c>
    </row>
    <row r="263" spans="2:25" s="49" customFormat="1" ht="15.75" x14ac:dyDescent="0.25">
      <c r="B263" s="133"/>
      <c r="C263" s="134"/>
      <c r="D263" s="113"/>
      <c r="E263" s="114"/>
      <c r="F263" s="173"/>
      <c r="G263" s="116" t="s">
        <v>244</v>
      </c>
      <c r="H263" s="116" t="s">
        <v>244</v>
      </c>
      <c r="I263" s="113"/>
      <c r="J263" s="117" t="s">
        <v>244</v>
      </c>
      <c r="K263" s="118"/>
      <c r="L263" s="119">
        <v>0</v>
      </c>
      <c r="M263" s="120" t="s">
        <v>244</v>
      </c>
      <c r="N263" s="121" t="s">
        <v>244</v>
      </c>
      <c r="O263" s="122" t="s">
        <v>244</v>
      </c>
      <c r="P263" s="123" t="s">
        <v>244</v>
      </c>
      <c r="Q263" s="124"/>
      <c r="R263" s="135"/>
      <c r="S263" s="136"/>
      <c r="T263" s="137"/>
      <c r="U263" s="138" t="s">
        <v>244</v>
      </c>
      <c r="V263" s="138" t="s">
        <v>244</v>
      </c>
      <c r="W263" s="139" t="s">
        <v>244</v>
      </c>
      <c r="X263" s="139" t="s">
        <v>244</v>
      </c>
      <c r="Y263" s="54">
        <v>0</v>
      </c>
    </row>
    <row r="264" spans="2:25" s="49" customFormat="1" ht="15.75" x14ac:dyDescent="0.25">
      <c r="B264" s="133"/>
      <c r="C264" s="134"/>
      <c r="D264" s="113"/>
      <c r="E264" s="114"/>
      <c r="F264" s="173"/>
      <c r="G264" s="116" t="s">
        <v>244</v>
      </c>
      <c r="H264" s="116" t="s">
        <v>244</v>
      </c>
      <c r="I264" s="113"/>
      <c r="J264" s="117" t="s">
        <v>244</v>
      </c>
      <c r="K264" s="118"/>
      <c r="L264" s="119">
        <v>0</v>
      </c>
      <c r="M264" s="120" t="s">
        <v>244</v>
      </c>
      <c r="N264" s="121" t="s">
        <v>244</v>
      </c>
      <c r="O264" s="122" t="s">
        <v>244</v>
      </c>
      <c r="P264" s="123" t="s">
        <v>244</v>
      </c>
      <c r="Q264" s="124"/>
      <c r="R264" s="135"/>
      <c r="S264" s="136"/>
      <c r="T264" s="137"/>
      <c r="U264" s="138" t="s">
        <v>244</v>
      </c>
      <c r="V264" s="138" t="s">
        <v>244</v>
      </c>
      <c r="W264" s="139" t="s">
        <v>244</v>
      </c>
      <c r="X264" s="139" t="s">
        <v>244</v>
      </c>
      <c r="Y264" s="54">
        <v>0</v>
      </c>
    </row>
    <row r="265" spans="2:25" s="49" customFormat="1" ht="15.75" x14ac:dyDescent="0.25">
      <c r="B265" s="133"/>
      <c r="C265" s="134"/>
      <c r="D265" s="113"/>
      <c r="E265" s="114"/>
      <c r="F265" s="173"/>
      <c r="G265" s="116" t="s">
        <v>244</v>
      </c>
      <c r="H265" s="116" t="s">
        <v>244</v>
      </c>
      <c r="I265" s="113"/>
      <c r="J265" s="117" t="s">
        <v>244</v>
      </c>
      <c r="K265" s="118"/>
      <c r="L265" s="119">
        <v>0</v>
      </c>
      <c r="M265" s="120" t="s">
        <v>244</v>
      </c>
      <c r="N265" s="121" t="s">
        <v>244</v>
      </c>
      <c r="O265" s="122" t="s">
        <v>244</v>
      </c>
      <c r="P265" s="123" t="s">
        <v>244</v>
      </c>
      <c r="Q265" s="124"/>
      <c r="R265" s="135"/>
      <c r="S265" s="136"/>
      <c r="T265" s="137"/>
      <c r="U265" s="138" t="s">
        <v>244</v>
      </c>
      <c r="V265" s="138" t="s">
        <v>244</v>
      </c>
      <c r="W265" s="139" t="s">
        <v>244</v>
      </c>
      <c r="X265" s="139" t="s">
        <v>244</v>
      </c>
      <c r="Y265" s="54">
        <v>0</v>
      </c>
    </row>
    <row r="266" spans="2:25" s="49" customFormat="1" ht="15.75" x14ac:dyDescent="0.25">
      <c r="B266" s="133"/>
      <c r="C266" s="134"/>
      <c r="D266" s="113"/>
      <c r="E266" s="114"/>
      <c r="F266" s="173"/>
      <c r="G266" s="116" t="s">
        <v>244</v>
      </c>
      <c r="H266" s="116" t="s">
        <v>244</v>
      </c>
      <c r="I266" s="113"/>
      <c r="J266" s="117" t="s">
        <v>244</v>
      </c>
      <c r="K266" s="118"/>
      <c r="L266" s="119">
        <v>0</v>
      </c>
      <c r="M266" s="120" t="s">
        <v>244</v>
      </c>
      <c r="N266" s="121" t="s">
        <v>244</v>
      </c>
      <c r="O266" s="122" t="s">
        <v>244</v>
      </c>
      <c r="P266" s="123" t="s">
        <v>244</v>
      </c>
      <c r="Q266" s="124"/>
      <c r="R266" s="135"/>
      <c r="S266" s="136"/>
      <c r="T266" s="137"/>
      <c r="U266" s="138" t="s">
        <v>244</v>
      </c>
      <c r="V266" s="138" t="s">
        <v>244</v>
      </c>
      <c r="W266" s="139" t="s">
        <v>244</v>
      </c>
      <c r="X266" s="139" t="s">
        <v>244</v>
      </c>
      <c r="Y266" s="54">
        <v>0</v>
      </c>
    </row>
    <row r="267" spans="2:25" s="49" customFormat="1" ht="15.75" x14ac:dyDescent="0.25">
      <c r="B267" s="133"/>
      <c r="C267" s="134"/>
      <c r="D267" s="113"/>
      <c r="E267" s="114"/>
      <c r="F267" s="173"/>
      <c r="G267" s="116" t="s">
        <v>244</v>
      </c>
      <c r="H267" s="116" t="s">
        <v>244</v>
      </c>
      <c r="I267" s="113"/>
      <c r="J267" s="117" t="s">
        <v>244</v>
      </c>
      <c r="K267" s="118"/>
      <c r="L267" s="119">
        <v>0</v>
      </c>
      <c r="M267" s="120" t="s">
        <v>244</v>
      </c>
      <c r="N267" s="121" t="s">
        <v>244</v>
      </c>
      <c r="O267" s="122" t="s">
        <v>244</v>
      </c>
      <c r="P267" s="123" t="s">
        <v>244</v>
      </c>
      <c r="Q267" s="124"/>
      <c r="R267" s="135"/>
      <c r="S267" s="136"/>
      <c r="T267" s="137"/>
      <c r="U267" s="138" t="s">
        <v>244</v>
      </c>
      <c r="V267" s="138" t="s">
        <v>244</v>
      </c>
      <c r="W267" s="139" t="s">
        <v>244</v>
      </c>
      <c r="X267" s="139" t="s">
        <v>244</v>
      </c>
      <c r="Y267" s="54">
        <v>0</v>
      </c>
    </row>
    <row r="268" spans="2:25" s="49" customFormat="1" ht="15.75" x14ac:dyDescent="0.25">
      <c r="B268" s="133"/>
      <c r="C268" s="134"/>
      <c r="D268" s="113"/>
      <c r="E268" s="114"/>
      <c r="F268" s="173"/>
      <c r="G268" s="116" t="s">
        <v>244</v>
      </c>
      <c r="H268" s="116" t="s">
        <v>244</v>
      </c>
      <c r="I268" s="113"/>
      <c r="J268" s="117" t="s">
        <v>244</v>
      </c>
      <c r="K268" s="118"/>
      <c r="L268" s="119">
        <v>0</v>
      </c>
      <c r="M268" s="120" t="s">
        <v>244</v>
      </c>
      <c r="N268" s="121" t="s">
        <v>244</v>
      </c>
      <c r="O268" s="122" t="s">
        <v>244</v>
      </c>
      <c r="P268" s="123" t="s">
        <v>244</v>
      </c>
      <c r="Q268" s="124"/>
      <c r="R268" s="135"/>
      <c r="S268" s="136"/>
      <c r="T268" s="137"/>
      <c r="U268" s="138" t="s">
        <v>244</v>
      </c>
      <c r="V268" s="138" t="s">
        <v>244</v>
      </c>
      <c r="W268" s="139" t="s">
        <v>244</v>
      </c>
      <c r="X268" s="139" t="s">
        <v>244</v>
      </c>
      <c r="Y268" s="54">
        <v>0</v>
      </c>
    </row>
    <row r="269" spans="2:25" s="49" customFormat="1" ht="15.75" x14ac:dyDescent="0.25">
      <c r="B269" s="133"/>
      <c r="C269" s="134"/>
      <c r="D269" s="113"/>
      <c r="E269" s="114"/>
      <c r="F269" s="173"/>
      <c r="G269" s="116" t="s">
        <v>244</v>
      </c>
      <c r="H269" s="116" t="s">
        <v>244</v>
      </c>
      <c r="I269" s="113"/>
      <c r="J269" s="117" t="s">
        <v>244</v>
      </c>
      <c r="K269" s="118"/>
      <c r="L269" s="119">
        <v>0</v>
      </c>
      <c r="M269" s="120" t="s">
        <v>244</v>
      </c>
      <c r="N269" s="121" t="s">
        <v>244</v>
      </c>
      <c r="O269" s="122" t="s">
        <v>244</v>
      </c>
      <c r="P269" s="123" t="s">
        <v>244</v>
      </c>
      <c r="Q269" s="124"/>
      <c r="R269" s="135"/>
      <c r="S269" s="136"/>
      <c r="T269" s="137"/>
      <c r="U269" s="138" t="s">
        <v>244</v>
      </c>
      <c r="V269" s="138" t="s">
        <v>244</v>
      </c>
      <c r="W269" s="139" t="s">
        <v>244</v>
      </c>
      <c r="X269" s="139" t="s">
        <v>244</v>
      </c>
      <c r="Y269" s="54">
        <v>0</v>
      </c>
    </row>
    <row r="270" spans="2:25" s="49" customFormat="1" ht="15.75" x14ac:dyDescent="0.25">
      <c r="B270" s="133"/>
      <c r="C270" s="134"/>
      <c r="D270" s="113"/>
      <c r="E270" s="114"/>
      <c r="F270" s="173"/>
      <c r="G270" s="116" t="s">
        <v>244</v>
      </c>
      <c r="H270" s="116" t="s">
        <v>244</v>
      </c>
      <c r="I270" s="113"/>
      <c r="J270" s="117" t="s">
        <v>244</v>
      </c>
      <c r="K270" s="118"/>
      <c r="L270" s="119">
        <v>0</v>
      </c>
      <c r="M270" s="120" t="s">
        <v>244</v>
      </c>
      <c r="N270" s="121" t="s">
        <v>244</v>
      </c>
      <c r="O270" s="122" t="s">
        <v>244</v>
      </c>
      <c r="P270" s="123" t="s">
        <v>244</v>
      </c>
      <c r="Q270" s="124"/>
      <c r="R270" s="135"/>
      <c r="S270" s="136"/>
      <c r="T270" s="137"/>
      <c r="U270" s="138" t="s">
        <v>244</v>
      </c>
      <c r="V270" s="138" t="s">
        <v>244</v>
      </c>
      <c r="W270" s="139" t="s">
        <v>244</v>
      </c>
      <c r="X270" s="139" t="s">
        <v>244</v>
      </c>
      <c r="Y270" s="54">
        <v>0</v>
      </c>
    </row>
    <row r="271" spans="2:25" s="49" customFormat="1" ht="15.75" x14ac:dyDescent="0.25">
      <c r="B271" s="133"/>
      <c r="C271" s="134"/>
      <c r="D271" s="113"/>
      <c r="E271" s="114"/>
      <c r="F271" s="173"/>
      <c r="G271" s="116" t="s">
        <v>244</v>
      </c>
      <c r="H271" s="116" t="s">
        <v>244</v>
      </c>
      <c r="I271" s="113"/>
      <c r="J271" s="117" t="s">
        <v>244</v>
      </c>
      <c r="K271" s="118"/>
      <c r="L271" s="119">
        <v>0</v>
      </c>
      <c r="M271" s="120" t="s">
        <v>244</v>
      </c>
      <c r="N271" s="121" t="s">
        <v>244</v>
      </c>
      <c r="O271" s="122" t="s">
        <v>244</v>
      </c>
      <c r="P271" s="123" t="s">
        <v>244</v>
      </c>
      <c r="Q271" s="124"/>
      <c r="R271" s="135"/>
      <c r="S271" s="136"/>
      <c r="T271" s="137"/>
      <c r="U271" s="138" t="s">
        <v>244</v>
      </c>
      <c r="V271" s="138" t="s">
        <v>244</v>
      </c>
      <c r="W271" s="139" t="s">
        <v>244</v>
      </c>
      <c r="X271" s="139" t="s">
        <v>244</v>
      </c>
      <c r="Y271" s="54">
        <v>0</v>
      </c>
    </row>
    <row r="272" spans="2:25" s="49" customFormat="1" ht="15.75" x14ac:dyDescent="0.25">
      <c r="B272" s="133"/>
      <c r="C272" s="134"/>
      <c r="D272" s="113"/>
      <c r="E272" s="114"/>
      <c r="F272" s="173"/>
      <c r="G272" s="116" t="s">
        <v>244</v>
      </c>
      <c r="H272" s="116" t="s">
        <v>244</v>
      </c>
      <c r="I272" s="113"/>
      <c r="J272" s="117" t="s">
        <v>244</v>
      </c>
      <c r="K272" s="118"/>
      <c r="L272" s="119">
        <v>0</v>
      </c>
      <c r="M272" s="120" t="s">
        <v>244</v>
      </c>
      <c r="N272" s="121" t="s">
        <v>244</v>
      </c>
      <c r="O272" s="122" t="s">
        <v>244</v>
      </c>
      <c r="P272" s="123" t="s">
        <v>244</v>
      </c>
      <c r="Q272" s="124"/>
      <c r="R272" s="135"/>
      <c r="S272" s="136"/>
      <c r="T272" s="137"/>
      <c r="U272" s="138" t="s">
        <v>244</v>
      </c>
      <c r="V272" s="138" t="s">
        <v>244</v>
      </c>
      <c r="W272" s="139" t="s">
        <v>244</v>
      </c>
      <c r="X272" s="139" t="s">
        <v>244</v>
      </c>
      <c r="Y272" s="54">
        <v>0</v>
      </c>
    </row>
    <row r="273" spans="2:25" s="49" customFormat="1" ht="15.75" x14ac:dyDescent="0.25">
      <c r="B273" s="133"/>
      <c r="C273" s="134"/>
      <c r="D273" s="113"/>
      <c r="E273" s="114"/>
      <c r="F273" s="173"/>
      <c r="G273" s="116" t="s">
        <v>244</v>
      </c>
      <c r="H273" s="116" t="s">
        <v>244</v>
      </c>
      <c r="I273" s="113"/>
      <c r="J273" s="117" t="s">
        <v>244</v>
      </c>
      <c r="K273" s="118"/>
      <c r="L273" s="119">
        <v>0</v>
      </c>
      <c r="M273" s="120" t="s">
        <v>244</v>
      </c>
      <c r="N273" s="121" t="s">
        <v>244</v>
      </c>
      <c r="O273" s="122" t="s">
        <v>244</v>
      </c>
      <c r="P273" s="123" t="s">
        <v>244</v>
      </c>
      <c r="Q273" s="124"/>
      <c r="R273" s="135"/>
      <c r="S273" s="136"/>
      <c r="T273" s="137"/>
      <c r="U273" s="138" t="s">
        <v>244</v>
      </c>
      <c r="V273" s="138" t="s">
        <v>244</v>
      </c>
      <c r="W273" s="139" t="s">
        <v>244</v>
      </c>
      <c r="X273" s="139" t="s">
        <v>244</v>
      </c>
      <c r="Y273" s="54">
        <v>0</v>
      </c>
    </row>
    <row r="274" spans="2:25" s="49" customFormat="1" ht="15.75" x14ac:dyDescent="0.25">
      <c r="B274" s="133"/>
      <c r="C274" s="134"/>
      <c r="D274" s="113"/>
      <c r="E274" s="114"/>
      <c r="F274" s="173"/>
      <c r="G274" s="116" t="s">
        <v>244</v>
      </c>
      <c r="H274" s="116" t="s">
        <v>244</v>
      </c>
      <c r="I274" s="113"/>
      <c r="J274" s="117" t="s">
        <v>244</v>
      </c>
      <c r="K274" s="118"/>
      <c r="L274" s="119">
        <v>0</v>
      </c>
      <c r="M274" s="120" t="s">
        <v>244</v>
      </c>
      <c r="N274" s="121" t="s">
        <v>244</v>
      </c>
      <c r="O274" s="122" t="s">
        <v>244</v>
      </c>
      <c r="P274" s="123" t="s">
        <v>244</v>
      </c>
      <c r="Q274" s="124"/>
      <c r="R274" s="135"/>
      <c r="S274" s="136"/>
      <c r="T274" s="137"/>
      <c r="U274" s="138" t="s">
        <v>244</v>
      </c>
      <c r="V274" s="138" t="s">
        <v>244</v>
      </c>
      <c r="W274" s="139" t="s">
        <v>244</v>
      </c>
      <c r="X274" s="139" t="s">
        <v>244</v>
      </c>
      <c r="Y274" s="54">
        <v>0</v>
      </c>
    </row>
    <row r="275" spans="2:25" s="49" customFormat="1" ht="15.75" x14ac:dyDescent="0.25">
      <c r="B275" s="133"/>
      <c r="C275" s="134"/>
      <c r="D275" s="113"/>
      <c r="E275" s="114"/>
      <c r="F275" s="173"/>
      <c r="G275" s="116" t="s">
        <v>244</v>
      </c>
      <c r="H275" s="116" t="s">
        <v>244</v>
      </c>
      <c r="I275" s="113"/>
      <c r="J275" s="117" t="s">
        <v>244</v>
      </c>
      <c r="K275" s="118"/>
      <c r="L275" s="119">
        <v>0</v>
      </c>
      <c r="M275" s="120" t="s">
        <v>244</v>
      </c>
      <c r="N275" s="121" t="s">
        <v>244</v>
      </c>
      <c r="O275" s="122" t="s">
        <v>244</v>
      </c>
      <c r="P275" s="123" t="s">
        <v>244</v>
      </c>
      <c r="Q275" s="124"/>
      <c r="R275" s="135"/>
      <c r="S275" s="136"/>
      <c r="T275" s="137"/>
      <c r="U275" s="138" t="s">
        <v>244</v>
      </c>
      <c r="V275" s="138" t="s">
        <v>244</v>
      </c>
      <c r="W275" s="139" t="s">
        <v>244</v>
      </c>
      <c r="X275" s="139" t="s">
        <v>244</v>
      </c>
      <c r="Y275" s="54">
        <v>0</v>
      </c>
    </row>
    <row r="276" spans="2:25" s="49" customFormat="1" ht="15.75" x14ac:dyDescent="0.25">
      <c r="B276" s="133"/>
      <c r="C276" s="134"/>
      <c r="D276" s="113"/>
      <c r="E276" s="114"/>
      <c r="F276" s="173"/>
      <c r="G276" s="116" t="s">
        <v>244</v>
      </c>
      <c r="H276" s="116" t="s">
        <v>244</v>
      </c>
      <c r="I276" s="113"/>
      <c r="J276" s="117" t="s">
        <v>244</v>
      </c>
      <c r="K276" s="118"/>
      <c r="L276" s="119">
        <v>0</v>
      </c>
      <c r="M276" s="120" t="s">
        <v>244</v>
      </c>
      <c r="N276" s="121" t="s">
        <v>244</v>
      </c>
      <c r="O276" s="122" t="s">
        <v>244</v>
      </c>
      <c r="P276" s="123" t="s">
        <v>244</v>
      </c>
      <c r="Q276" s="124"/>
      <c r="R276" s="135"/>
      <c r="S276" s="136"/>
      <c r="T276" s="137"/>
      <c r="U276" s="138" t="s">
        <v>244</v>
      </c>
      <c r="V276" s="138" t="s">
        <v>244</v>
      </c>
      <c r="W276" s="139" t="s">
        <v>244</v>
      </c>
      <c r="X276" s="139" t="s">
        <v>244</v>
      </c>
      <c r="Y276" s="54">
        <v>0</v>
      </c>
    </row>
    <row r="277" spans="2:25" s="49" customFormat="1" ht="15.75" x14ac:dyDescent="0.25">
      <c r="B277" s="133"/>
      <c r="C277" s="134"/>
      <c r="D277" s="113"/>
      <c r="E277" s="114"/>
      <c r="F277" s="173"/>
      <c r="G277" s="116" t="s">
        <v>244</v>
      </c>
      <c r="H277" s="116" t="s">
        <v>244</v>
      </c>
      <c r="I277" s="113"/>
      <c r="J277" s="117" t="s">
        <v>244</v>
      </c>
      <c r="K277" s="118"/>
      <c r="L277" s="119">
        <v>0</v>
      </c>
      <c r="M277" s="120" t="s">
        <v>244</v>
      </c>
      <c r="N277" s="121" t="s">
        <v>244</v>
      </c>
      <c r="O277" s="122" t="s">
        <v>244</v>
      </c>
      <c r="P277" s="123" t="s">
        <v>244</v>
      </c>
      <c r="Q277" s="124"/>
      <c r="R277" s="135"/>
      <c r="S277" s="136"/>
      <c r="T277" s="137"/>
      <c r="U277" s="138" t="s">
        <v>244</v>
      </c>
      <c r="V277" s="138" t="s">
        <v>244</v>
      </c>
      <c r="W277" s="139" t="s">
        <v>244</v>
      </c>
      <c r="X277" s="139" t="s">
        <v>244</v>
      </c>
      <c r="Y277" s="54">
        <v>0</v>
      </c>
    </row>
    <row r="278" spans="2:25" s="49" customFormat="1" ht="15.75" x14ac:dyDescent="0.25">
      <c r="B278" s="133"/>
      <c r="C278" s="134"/>
      <c r="D278" s="113"/>
      <c r="E278" s="114"/>
      <c r="F278" s="173"/>
      <c r="G278" s="116" t="s">
        <v>244</v>
      </c>
      <c r="H278" s="116" t="s">
        <v>244</v>
      </c>
      <c r="I278" s="113"/>
      <c r="J278" s="117" t="s">
        <v>244</v>
      </c>
      <c r="K278" s="118"/>
      <c r="L278" s="119">
        <v>0</v>
      </c>
      <c r="M278" s="120" t="s">
        <v>244</v>
      </c>
      <c r="N278" s="121" t="s">
        <v>244</v>
      </c>
      <c r="O278" s="122" t="s">
        <v>244</v>
      </c>
      <c r="P278" s="123" t="s">
        <v>244</v>
      </c>
      <c r="Q278" s="124"/>
      <c r="R278" s="135"/>
      <c r="S278" s="136"/>
      <c r="T278" s="137"/>
      <c r="U278" s="138" t="s">
        <v>244</v>
      </c>
      <c r="V278" s="138" t="s">
        <v>244</v>
      </c>
      <c r="W278" s="139" t="s">
        <v>244</v>
      </c>
      <c r="X278" s="139" t="s">
        <v>244</v>
      </c>
      <c r="Y278" s="54">
        <v>0</v>
      </c>
    </row>
    <row r="279" spans="2:25" s="49" customFormat="1" ht="15.75" x14ac:dyDescent="0.25">
      <c r="B279" s="133"/>
      <c r="C279" s="134"/>
      <c r="D279" s="113"/>
      <c r="E279" s="114"/>
      <c r="F279" s="173"/>
      <c r="G279" s="116" t="s">
        <v>244</v>
      </c>
      <c r="H279" s="116" t="s">
        <v>244</v>
      </c>
      <c r="I279" s="113"/>
      <c r="J279" s="117" t="s">
        <v>244</v>
      </c>
      <c r="K279" s="118"/>
      <c r="L279" s="119">
        <v>0</v>
      </c>
      <c r="M279" s="120" t="s">
        <v>244</v>
      </c>
      <c r="N279" s="121" t="s">
        <v>244</v>
      </c>
      <c r="O279" s="122" t="s">
        <v>244</v>
      </c>
      <c r="P279" s="123" t="s">
        <v>244</v>
      </c>
      <c r="Q279" s="124"/>
      <c r="R279" s="135"/>
      <c r="S279" s="136"/>
      <c r="T279" s="137"/>
      <c r="U279" s="138" t="s">
        <v>244</v>
      </c>
      <c r="V279" s="138" t="s">
        <v>244</v>
      </c>
      <c r="W279" s="139" t="s">
        <v>244</v>
      </c>
      <c r="X279" s="139" t="s">
        <v>244</v>
      </c>
      <c r="Y279" s="54">
        <v>0</v>
      </c>
    </row>
    <row r="280" spans="2:25" s="49" customFormat="1" ht="15.75" x14ac:dyDescent="0.25">
      <c r="B280" s="133"/>
      <c r="C280" s="134"/>
      <c r="D280" s="113"/>
      <c r="E280" s="114"/>
      <c r="F280" s="173"/>
      <c r="G280" s="116" t="s">
        <v>244</v>
      </c>
      <c r="H280" s="116" t="s">
        <v>244</v>
      </c>
      <c r="I280" s="113"/>
      <c r="J280" s="117" t="s">
        <v>244</v>
      </c>
      <c r="K280" s="118"/>
      <c r="L280" s="119">
        <v>0</v>
      </c>
      <c r="M280" s="120" t="s">
        <v>244</v>
      </c>
      <c r="N280" s="121" t="s">
        <v>244</v>
      </c>
      <c r="O280" s="122" t="s">
        <v>244</v>
      </c>
      <c r="P280" s="123" t="s">
        <v>244</v>
      </c>
      <c r="Q280" s="124"/>
      <c r="R280" s="135"/>
      <c r="S280" s="136"/>
      <c r="T280" s="137"/>
      <c r="U280" s="138" t="s">
        <v>244</v>
      </c>
      <c r="V280" s="138" t="s">
        <v>244</v>
      </c>
      <c r="W280" s="139" t="s">
        <v>244</v>
      </c>
      <c r="X280" s="139" t="s">
        <v>244</v>
      </c>
      <c r="Y280" s="54">
        <v>0</v>
      </c>
    </row>
    <row r="281" spans="2:25" s="49" customFormat="1" ht="15.75" x14ac:dyDescent="0.25">
      <c r="B281" s="133"/>
      <c r="C281" s="134"/>
      <c r="D281" s="113"/>
      <c r="E281" s="114"/>
      <c r="F281" s="173"/>
      <c r="G281" s="116" t="s">
        <v>244</v>
      </c>
      <c r="H281" s="116" t="s">
        <v>244</v>
      </c>
      <c r="I281" s="113"/>
      <c r="J281" s="117" t="s">
        <v>244</v>
      </c>
      <c r="K281" s="118"/>
      <c r="L281" s="119">
        <v>0</v>
      </c>
      <c r="M281" s="120" t="s">
        <v>244</v>
      </c>
      <c r="N281" s="121" t="s">
        <v>244</v>
      </c>
      <c r="O281" s="122" t="s">
        <v>244</v>
      </c>
      <c r="P281" s="123" t="s">
        <v>244</v>
      </c>
      <c r="Q281" s="124"/>
      <c r="R281" s="135"/>
      <c r="S281" s="136"/>
      <c r="T281" s="137"/>
      <c r="U281" s="138" t="s">
        <v>244</v>
      </c>
      <c r="V281" s="138" t="s">
        <v>244</v>
      </c>
      <c r="W281" s="139" t="s">
        <v>244</v>
      </c>
      <c r="X281" s="139" t="s">
        <v>244</v>
      </c>
      <c r="Y281" s="54">
        <v>0</v>
      </c>
    </row>
    <row r="282" spans="2:25" s="49" customFormat="1" ht="15.75" x14ac:dyDescent="0.25">
      <c r="B282" s="133"/>
      <c r="C282" s="134"/>
      <c r="D282" s="113"/>
      <c r="E282" s="114"/>
      <c r="F282" s="173"/>
      <c r="G282" s="116" t="s">
        <v>244</v>
      </c>
      <c r="H282" s="116" t="s">
        <v>244</v>
      </c>
      <c r="I282" s="113"/>
      <c r="J282" s="117" t="s">
        <v>244</v>
      </c>
      <c r="K282" s="118"/>
      <c r="L282" s="119">
        <v>0</v>
      </c>
      <c r="M282" s="120" t="s">
        <v>244</v>
      </c>
      <c r="N282" s="121" t="s">
        <v>244</v>
      </c>
      <c r="O282" s="122" t="s">
        <v>244</v>
      </c>
      <c r="P282" s="123" t="s">
        <v>244</v>
      </c>
      <c r="Q282" s="124"/>
      <c r="R282" s="135"/>
      <c r="S282" s="136"/>
      <c r="T282" s="137"/>
      <c r="U282" s="138" t="s">
        <v>244</v>
      </c>
      <c r="V282" s="138" t="s">
        <v>244</v>
      </c>
      <c r="W282" s="139" t="s">
        <v>244</v>
      </c>
      <c r="X282" s="139" t="s">
        <v>244</v>
      </c>
      <c r="Y282" s="54">
        <v>0</v>
      </c>
    </row>
    <row r="283" spans="2:25" s="49" customFormat="1" ht="15.75" x14ac:dyDescent="0.25">
      <c r="B283" s="133"/>
      <c r="C283" s="134"/>
      <c r="D283" s="113"/>
      <c r="E283" s="114"/>
      <c r="F283" s="173"/>
      <c r="G283" s="116" t="s">
        <v>244</v>
      </c>
      <c r="H283" s="116" t="s">
        <v>244</v>
      </c>
      <c r="I283" s="113"/>
      <c r="J283" s="117" t="s">
        <v>244</v>
      </c>
      <c r="K283" s="118"/>
      <c r="L283" s="119">
        <v>0</v>
      </c>
      <c r="M283" s="120" t="s">
        <v>244</v>
      </c>
      <c r="N283" s="121" t="s">
        <v>244</v>
      </c>
      <c r="O283" s="122" t="s">
        <v>244</v>
      </c>
      <c r="P283" s="123" t="s">
        <v>244</v>
      </c>
      <c r="Q283" s="124"/>
      <c r="R283" s="135"/>
      <c r="S283" s="136"/>
      <c r="T283" s="137"/>
      <c r="U283" s="138" t="s">
        <v>244</v>
      </c>
      <c r="V283" s="138" t="s">
        <v>244</v>
      </c>
      <c r="W283" s="139" t="s">
        <v>244</v>
      </c>
      <c r="X283" s="139" t="s">
        <v>244</v>
      </c>
      <c r="Y283" s="54">
        <v>0</v>
      </c>
    </row>
    <row r="284" spans="2:25" s="49" customFormat="1" ht="15.75" x14ac:dyDescent="0.25">
      <c r="B284" s="133"/>
      <c r="C284" s="134"/>
      <c r="D284" s="113"/>
      <c r="E284" s="114"/>
      <c r="F284" s="173"/>
      <c r="G284" s="116" t="s">
        <v>244</v>
      </c>
      <c r="H284" s="116" t="s">
        <v>244</v>
      </c>
      <c r="I284" s="113"/>
      <c r="J284" s="117" t="s">
        <v>244</v>
      </c>
      <c r="K284" s="118"/>
      <c r="L284" s="119">
        <v>0</v>
      </c>
      <c r="M284" s="120" t="s">
        <v>244</v>
      </c>
      <c r="N284" s="121" t="s">
        <v>244</v>
      </c>
      <c r="O284" s="122" t="s">
        <v>244</v>
      </c>
      <c r="P284" s="123" t="s">
        <v>244</v>
      </c>
      <c r="Q284" s="124"/>
      <c r="R284" s="135"/>
      <c r="S284" s="136"/>
      <c r="T284" s="137"/>
      <c r="U284" s="138" t="s">
        <v>244</v>
      </c>
      <c r="V284" s="138" t="s">
        <v>244</v>
      </c>
      <c r="W284" s="139" t="s">
        <v>244</v>
      </c>
      <c r="X284" s="139" t="s">
        <v>244</v>
      </c>
      <c r="Y284" s="54">
        <v>0</v>
      </c>
    </row>
    <row r="285" spans="2:25" s="49" customFormat="1" ht="15.75" x14ac:dyDescent="0.25">
      <c r="B285" s="133"/>
      <c r="C285" s="134"/>
      <c r="D285" s="113"/>
      <c r="E285" s="114"/>
      <c r="F285" s="173"/>
      <c r="G285" s="116" t="s">
        <v>244</v>
      </c>
      <c r="H285" s="116" t="s">
        <v>244</v>
      </c>
      <c r="I285" s="113"/>
      <c r="J285" s="117" t="s">
        <v>244</v>
      </c>
      <c r="K285" s="118"/>
      <c r="L285" s="119">
        <v>0</v>
      </c>
      <c r="M285" s="120" t="s">
        <v>244</v>
      </c>
      <c r="N285" s="121" t="s">
        <v>244</v>
      </c>
      <c r="O285" s="122" t="s">
        <v>244</v>
      </c>
      <c r="P285" s="123" t="s">
        <v>244</v>
      </c>
      <c r="Q285" s="124"/>
      <c r="R285" s="135"/>
      <c r="S285" s="136"/>
      <c r="T285" s="137"/>
      <c r="U285" s="138" t="s">
        <v>244</v>
      </c>
      <c r="V285" s="138" t="s">
        <v>244</v>
      </c>
      <c r="W285" s="139" t="s">
        <v>244</v>
      </c>
      <c r="X285" s="139" t="s">
        <v>244</v>
      </c>
      <c r="Y285" s="54">
        <v>0</v>
      </c>
    </row>
    <row r="286" spans="2:25" s="49" customFormat="1" ht="15.75" x14ac:dyDescent="0.25">
      <c r="B286" s="133"/>
      <c r="C286" s="134"/>
      <c r="D286" s="113"/>
      <c r="E286" s="114"/>
      <c r="F286" s="173"/>
      <c r="G286" s="116" t="s">
        <v>244</v>
      </c>
      <c r="H286" s="116" t="s">
        <v>244</v>
      </c>
      <c r="I286" s="113"/>
      <c r="J286" s="117" t="s">
        <v>244</v>
      </c>
      <c r="K286" s="118"/>
      <c r="L286" s="119">
        <v>0</v>
      </c>
      <c r="M286" s="120" t="s">
        <v>244</v>
      </c>
      <c r="N286" s="121" t="s">
        <v>244</v>
      </c>
      <c r="O286" s="122" t="s">
        <v>244</v>
      </c>
      <c r="P286" s="123" t="s">
        <v>244</v>
      </c>
      <c r="Q286" s="124"/>
      <c r="R286" s="135"/>
      <c r="S286" s="136"/>
      <c r="T286" s="137"/>
      <c r="U286" s="138" t="s">
        <v>244</v>
      </c>
      <c r="V286" s="138" t="s">
        <v>244</v>
      </c>
      <c r="W286" s="139" t="s">
        <v>244</v>
      </c>
      <c r="X286" s="139" t="s">
        <v>244</v>
      </c>
      <c r="Y286" s="54">
        <v>0</v>
      </c>
    </row>
    <row r="287" spans="2:25" s="49" customFormat="1" ht="15.75" x14ac:dyDescent="0.25">
      <c r="B287" s="133"/>
      <c r="C287" s="134"/>
      <c r="D287" s="113"/>
      <c r="E287" s="114"/>
      <c r="F287" s="173"/>
      <c r="G287" s="116" t="s">
        <v>244</v>
      </c>
      <c r="H287" s="116" t="s">
        <v>244</v>
      </c>
      <c r="I287" s="113"/>
      <c r="J287" s="117" t="s">
        <v>244</v>
      </c>
      <c r="K287" s="118"/>
      <c r="L287" s="119">
        <v>0</v>
      </c>
      <c r="M287" s="120" t="s">
        <v>244</v>
      </c>
      <c r="N287" s="121" t="s">
        <v>244</v>
      </c>
      <c r="O287" s="122" t="s">
        <v>244</v>
      </c>
      <c r="P287" s="123" t="s">
        <v>244</v>
      </c>
      <c r="Q287" s="124"/>
      <c r="R287" s="135"/>
      <c r="S287" s="136"/>
      <c r="T287" s="137"/>
      <c r="U287" s="138" t="s">
        <v>244</v>
      </c>
      <c r="V287" s="138" t="s">
        <v>244</v>
      </c>
      <c r="W287" s="139" t="s">
        <v>244</v>
      </c>
      <c r="X287" s="139" t="s">
        <v>244</v>
      </c>
      <c r="Y287" s="54">
        <v>0</v>
      </c>
    </row>
    <row r="288" spans="2:25" s="49" customFormat="1" ht="15.75" x14ac:dyDescent="0.25">
      <c r="B288" s="133"/>
      <c r="C288" s="134"/>
      <c r="D288" s="113"/>
      <c r="E288" s="114"/>
      <c r="F288" s="173"/>
      <c r="G288" s="116" t="s">
        <v>244</v>
      </c>
      <c r="H288" s="116" t="s">
        <v>244</v>
      </c>
      <c r="I288" s="113"/>
      <c r="J288" s="117" t="s">
        <v>244</v>
      </c>
      <c r="K288" s="118"/>
      <c r="L288" s="119">
        <v>0</v>
      </c>
      <c r="M288" s="120" t="s">
        <v>244</v>
      </c>
      <c r="N288" s="121" t="s">
        <v>244</v>
      </c>
      <c r="O288" s="122" t="s">
        <v>244</v>
      </c>
      <c r="P288" s="123" t="s">
        <v>244</v>
      </c>
      <c r="Q288" s="124"/>
      <c r="R288" s="135"/>
      <c r="S288" s="136"/>
      <c r="T288" s="137"/>
      <c r="U288" s="138" t="s">
        <v>244</v>
      </c>
      <c r="V288" s="138" t="s">
        <v>244</v>
      </c>
      <c r="W288" s="139" t="s">
        <v>244</v>
      </c>
      <c r="X288" s="139" t="s">
        <v>244</v>
      </c>
      <c r="Y288" s="54">
        <v>0</v>
      </c>
    </row>
    <row r="289" spans="2:25" s="49" customFormat="1" ht="15.75" x14ac:dyDescent="0.25">
      <c r="B289" s="133"/>
      <c r="C289" s="134"/>
      <c r="D289" s="113"/>
      <c r="E289" s="114"/>
      <c r="F289" s="173"/>
      <c r="G289" s="116" t="s">
        <v>244</v>
      </c>
      <c r="H289" s="116" t="s">
        <v>244</v>
      </c>
      <c r="I289" s="113"/>
      <c r="J289" s="117" t="s">
        <v>244</v>
      </c>
      <c r="K289" s="118"/>
      <c r="L289" s="119">
        <v>0</v>
      </c>
      <c r="M289" s="120" t="s">
        <v>244</v>
      </c>
      <c r="N289" s="121" t="s">
        <v>244</v>
      </c>
      <c r="O289" s="122" t="s">
        <v>244</v>
      </c>
      <c r="P289" s="123" t="s">
        <v>244</v>
      </c>
      <c r="Q289" s="124"/>
      <c r="R289" s="135"/>
      <c r="S289" s="136"/>
      <c r="T289" s="137"/>
      <c r="U289" s="138" t="s">
        <v>244</v>
      </c>
      <c r="V289" s="138" t="s">
        <v>244</v>
      </c>
      <c r="W289" s="139" t="s">
        <v>244</v>
      </c>
      <c r="X289" s="139" t="s">
        <v>244</v>
      </c>
      <c r="Y289" s="54">
        <v>0</v>
      </c>
    </row>
    <row r="290" spans="2:25" s="49" customFormat="1" ht="15.75" x14ac:dyDescent="0.25">
      <c r="B290" s="133"/>
      <c r="C290" s="134"/>
      <c r="D290" s="113"/>
      <c r="E290" s="114"/>
      <c r="F290" s="173"/>
      <c r="G290" s="116" t="s">
        <v>244</v>
      </c>
      <c r="H290" s="116" t="s">
        <v>244</v>
      </c>
      <c r="I290" s="113"/>
      <c r="J290" s="117" t="s">
        <v>244</v>
      </c>
      <c r="K290" s="118"/>
      <c r="L290" s="119">
        <v>0</v>
      </c>
      <c r="M290" s="120" t="s">
        <v>244</v>
      </c>
      <c r="N290" s="121" t="s">
        <v>244</v>
      </c>
      <c r="O290" s="122" t="s">
        <v>244</v>
      </c>
      <c r="P290" s="123" t="s">
        <v>244</v>
      </c>
      <c r="Q290" s="124"/>
      <c r="R290" s="135"/>
      <c r="S290" s="136"/>
      <c r="T290" s="137"/>
      <c r="U290" s="138" t="s">
        <v>244</v>
      </c>
      <c r="V290" s="138" t="s">
        <v>244</v>
      </c>
      <c r="W290" s="139" t="s">
        <v>244</v>
      </c>
      <c r="X290" s="139" t="s">
        <v>244</v>
      </c>
      <c r="Y290" s="54">
        <v>0</v>
      </c>
    </row>
    <row r="291" spans="2:25" s="49" customFormat="1" ht="15.75" x14ac:dyDescent="0.25">
      <c r="B291" s="133"/>
      <c r="C291" s="134"/>
      <c r="D291" s="113"/>
      <c r="E291" s="114"/>
      <c r="F291" s="173"/>
      <c r="G291" s="116" t="s">
        <v>244</v>
      </c>
      <c r="H291" s="116" t="s">
        <v>244</v>
      </c>
      <c r="I291" s="113"/>
      <c r="J291" s="117" t="s">
        <v>244</v>
      </c>
      <c r="K291" s="118"/>
      <c r="L291" s="119">
        <v>0</v>
      </c>
      <c r="M291" s="120" t="s">
        <v>244</v>
      </c>
      <c r="N291" s="121" t="s">
        <v>244</v>
      </c>
      <c r="O291" s="122" t="s">
        <v>244</v>
      </c>
      <c r="P291" s="123" t="s">
        <v>244</v>
      </c>
      <c r="Q291" s="124"/>
      <c r="R291" s="135"/>
      <c r="S291" s="136"/>
      <c r="T291" s="137"/>
      <c r="U291" s="138" t="s">
        <v>244</v>
      </c>
      <c r="V291" s="138" t="s">
        <v>244</v>
      </c>
      <c r="W291" s="139" t="s">
        <v>244</v>
      </c>
      <c r="X291" s="139" t="s">
        <v>244</v>
      </c>
      <c r="Y291" s="54">
        <v>0</v>
      </c>
    </row>
    <row r="292" spans="2:25" s="49" customFormat="1" ht="15.75" x14ac:dyDescent="0.25">
      <c r="B292" s="133"/>
      <c r="C292" s="134"/>
      <c r="D292" s="113"/>
      <c r="E292" s="114"/>
      <c r="F292" s="173"/>
      <c r="G292" s="116" t="s">
        <v>244</v>
      </c>
      <c r="H292" s="116" t="s">
        <v>244</v>
      </c>
      <c r="I292" s="113"/>
      <c r="J292" s="117" t="s">
        <v>244</v>
      </c>
      <c r="K292" s="118"/>
      <c r="L292" s="119">
        <v>0</v>
      </c>
      <c r="M292" s="120" t="s">
        <v>244</v>
      </c>
      <c r="N292" s="121" t="s">
        <v>244</v>
      </c>
      <c r="O292" s="122" t="s">
        <v>244</v>
      </c>
      <c r="P292" s="123" t="s">
        <v>244</v>
      </c>
      <c r="Q292" s="124"/>
      <c r="R292" s="135"/>
      <c r="S292" s="136"/>
      <c r="T292" s="137"/>
      <c r="U292" s="138" t="s">
        <v>244</v>
      </c>
      <c r="V292" s="138" t="s">
        <v>244</v>
      </c>
      <c r="W292" s="139" t="s">
        <v>244</v>
      </c>
      <c r="X292" s="139" t="s">
        <v>244</v>
      </c>
      <c r="Y292" s="54">
        <v>0</v>
      </c>
    </row>
    <row r="293" spans="2:25" s="49" customFormat="1" ht="15.75" x14ac:dyDescent="0.25">
      <c r="B293" s="133"/>
      <c r="C293" s="134"/>
      <c r="D293" s="113"/>
      <c r="E293" s="114"/>
      <c r="F293" s="173"/>
      <c r="G293" s="116" t="s">
        <v>244</v>
      </c>
      <c r="H293" s="116" t="s">
        <v>244</v>
      </c>
      <c r="I293" s="113"/>
      <c r="J293" s="117" t="s">
        <v>244</v>
      </c>
      <c r="K293" s="118"/>
      <c r="L293" s="119">
        <v>0</v>
      </c>
      <c r="M293" s="120" t="s">
        <v>244</v>
      </c>
      <c r="N293" s="121" t="s">
        <v>244</v>
      </c>
      <c r="O293" s="122" t="s">
        <v>244</v>
      </c>
      <c r="P293" s="123" t="s">
        <v>244</v>
      </c>
      <c r="Q293" s="124"/>
      <c r="R293" s="135"/>
      <c r="S293" s="136"/>
      <c r="T293" s="137"/>
      <c r="U293" s="138" t="s">
        <v>244</v>
      </c>
      <c r="V293" s="138" t="s">
        <v>244</v>
      </c>
      <c r="W293" s="139" t="s">
        <v>244</v>
      </c>
      <c r="X293" s="139" t="s">
        <v>244</v>
      </c>
      <c r="Y293" s="54">
        <v>0</v>
      </c>
    </row>
    <row r="294" spans="2:25" s="49" customFormat="1" ht="15.75" x14ac:dyDescent="0.25">
      <c r="B294" s="133"/>
      <c r="C294" s="134"/>
      <c r="D294" s="113"/>
      <c r="E294" s="114"/>
      <c r="F294" s="173"/>
      <c r="G294" s="116" t="s">
        <v>244</v>
      </c>
      <c r="H294" s="116" t="s">
        <v>244</v>
      </c>
      <c r="I294" s="113"/>
      <c r="J294" s="117" t="s">
        <v>244</v>
      </c>
      <c r="K294" s="118"/>
      <c r="L294" s="119">
        <v>0</v>
      </c>
      <c r="M294" s="120" t="s">
        <v>244</v>
      </c>
      <c r="N294" s="121" t="s">
        <v>244</v>
      </c>
      <c r="O294" s="122" t="s">
        <v>244</v>
      </c>
      <c r="P294" s="123" t="s">
        <v>244</v>
      </c>
      <c r="Q294" s="124"/>
      <c r="R294" s="135"/>
      <c r="S294" s="136"/>
      <c r="T294" s="137"/>
      <c r="U294" s="138" t="s">
        <v>244</v>
      </c>
      <c r="V294" s="138" t="s">
        <v>244</v>
      </c>
      <c r="W294" s="139" t="s">
        <v>244</v>
      </c>
      <c r="X294" s="139" t="s">
        <v>244</v>
      </c>
      <c r="Y294" s="54">
        <v>0</v>
      </c>
    </row>
    <row r="295" spans="2:25" s="49" customFormat="1" ht="15.75" x14ac:dyDescent="0.25">
      <c r="B295" s="133"/>
      <c r="C295" s="134"/>
      <c r="D295" s="113"/>
      <c r="E295" s="114"/>
      <c r="F295" s="173"/>
      <c r="G295" s="116" t="s">
        <v>244</v>
      </c>
      <c r="H295" s="116" t="s">
        <v>244</v>
      </c>
      <c r="I295" s="113"/>
      <c r="J295" s="117" t="s">
        <v>244</v>
      </c>
      <c r="K295" s="118"/>
      <c r="L295" s="119">
        <v>0</v>
      </c>
      <c r="M295" s="120" t="s">
        <v>244</v>
      </c>
      <c r="N295" s="121" t="s">
        <v>244</v>
      </c>
      <c r="O295" s="122" t="s">
        <v>244</v>
      </c>
      <c r="P295" s="123" t="s">
        <v>244</v>
      </c>
      <c r="Q295" s="124"/>
      <c r="R295" s="135"/>
      <c r="S295" s="136"/>
      <c r="T295" s="137"/>
      <c r="U295" s="138" t="s">
        <v>244</v>
      </c>
      <c r="V295" s="138" t="s">
        <v>244</v>
      </c>
      <c r="W295" s="139" t="s">
        <v>244</v>
      </c>
      <c r="X295" s="139" t="s">
        <v>244</v>
      </c>
      <c r="Y295" s="54">
        <v>0</v>
      </c>
    </row>
    <row r="296" spans="2:25" s="49" customFormat="1" ht="15.75" x14ac:dyDescent="0.25">
      <c r="B296" s="133"/>
      <c r="C296" s="134"/>
      <c r="D296" s="113"/>
      <c r="E296" s="114"/>
      <c r="F296" s="173"/>
      <c r="G296" s="116" t="s">
        <v>244</v>
      </c>
      <c r="H296" s="116" t="s">
        <v>244</v>
      </c>
      <c r="I296" s="113"/>
      <c r="J296" s="117" t="s">
        <v>244</v>
      </c>
      <c r="K296" s="118"/>
      <c r="L296" s="119">
        <v>0</v>
      </c>
      <c r="M296" s="120" t="s">
        <v>244</v>
      </c>
      <c r="N296" s="121" t="s">
        <v>244</v>
      </c>
      <c r="O296" s="122" t="s">
        <v>244</v>
      </c>
      <c r="P296" s="123" t="s">
        <v>244</v>
      </c>
      <c r="Q296" s="124"/>
      <c r="R296" s="135"/>
      <c r="S296" s="136"/>
      <c r="T296" s="137"/>
      <c r="U296" s="138" t="s">
        <v>244</v>
      </c>
      <c r="V296" s="138" t="s">
        <v>244</v>
      </c>
      <c r="W296" s="139" t="s">
        <v>244</v>
      </c>
      <c r="X296" s="139" t="s">
        <v>244</v>
      </c>
      <c r="Y296" s="54">
        <v>0</v>
      </c>
    </row>
    <row r="297" spans="2:25" s="49" customFormat="1" ht="15.75" x14ac:dyDescent="0.25">
      <c r="B297" s="133"/>
      <c r="C297" s="134"/>
      <c r="D297" s="113"/>
      <c r="E297" s="114"/>
      <c r="F297" s="173"/>
      <c r="G297" s="116" t="s">
        <v>244</v>
      </c>
      <c r="H297" s="116" t="s">
        <v>244</v>
      </c>
      <c r="I297" s="113"/>
      <c r="J297" s="117" t="s">
        <v>244</v>
      </c>
      <c r="K297" s="118"/>
      <c r="L297" s="119">
        <v>0</v>
      </c>
      <c r="M297" s="120" t="s">
        <v>244</v>
      </c>
      <c r="N297" s="121" t="s">
        <v>244</v>
      </c>
      <c r="O297" s="122" t="s">
        <v>244</v>
      </c>
      <c r="P297" s="123" t="s">
        <v>244</v>
      </c>
      <c r="Q297" s="124"/>
      <c r="R297" s="135"/>
      <c r="S297" s="136"/>
      <c r="T297" s="137"/>
      <c r="U297" s="138" t="s">
        <v>244</v>
      </c>
      <c r="V297" s="138" t="s">
        <v>244</v>
      </c>
      <c r="W297" s="139" t="s">
        <v>244</v>
      </c>
      <c r="X297" s="139" t="s">
        <v>244</v>
      </c>
      <c r="Y297" s="54">
        <v>0</v>
      </c>
    </row>
    <row r="298" spans="2:25" s="49" customFormat="1" ht="15.75" x14ac:dyDescent="0.25">
      <c r="B298" s="133"/>
      <c r="C298" s="134"/>
      <c r="D298" s="113"/>
      <c r="E298" s="114"/>
      <c r="F298" s="173"/>
      <c r="G298" s="116" t="s">
        <v>244</v>
      </c>
      <c r="H298" s="116" t="s">
        <v>244</v>
      </c>
      <c r="I298" s="113"/>
      <c r="J298" s="117" t="s">
        <v>244</v>
      </c>
      <c r="K298" s="118"/>
      <c r="L298" s="119">
        <v>0</v>
      </c>
      <c r="M298" s="120" t="s">
        <v>244</v>
      </c>
      <c r="N298" s="121" t="s">
        <v>244</v>
      </c>
      <c r="O298" s="122" t="s">
        <v>244</v>
      </c>
      <c r="P298" s="123" t="s">
        <v>244</v>
      </c>
      <c r="Q298" s="124"/>
      <c r="R298" s="135"/>
      <c r="S298" s="136"/>
      <c r="T298" s="137"/>
      <c r="U298" s="138" t="s">
        <v>244</v>
      </c>
      <c r="V298" s="138" t="s">
        <v>244</v>
      </c>
      <c r="W298" s="139" t="s">
        <v>244</v>
      </c>
      <c r="X298" s="139" t="s">
        <v>244</v>
      </c>
      <c r="Y298" s="54">
        <v>0</v>
      </c>
    </row>
    <row r="299" spans="2:25" s="49" customFormat="1" ht="15.75" x14ac:dyDescent="0.25">
      <c r="B299" s="133"/>
      <c r="C299" s="134"/>
      <c r="D299" s="113"/>
      <c r="E299" s="114"/>
      <c r="F299" s="173"/>
      <c r="G299" s="116" t="s">
        <v>244</v>
      </c>
      <c r="H299" s="116" t="s">
        <v>244</v>
      </c>
      <c r="I299" s="113"/>
      <c r="J299" s="117" t="s">
        <v>244</v>
      </c>
      <c r="K299" s="118"/>
      <c r="L299" s="119">
        <v>0</v>
      </c>
      <c r="M299" s="120" t="s">
        <v>244</v>
      </c>
      <c r="N299" s="121" t="s">
        <v>244</v>
      </c>
      <c r="O299" s="122" t="s">
        <v>244</v>
      </c>
      <c r="P299" s="123" t="s">
        <v>244</v>
      </c>
      <c r="Q299" s="124"/>
      <c r="R299" s="135"/>
      <c r="S299" s="136"/>
      <c r="T299" s="137"/>
      <c r="U299" s="138" t="s">
        <v>244</v>
      </c>
      <c r="V299" s="138" t="s">
        <v>244</v>
      </c>
      <c r="W299" s="139" t="s">
        <v>244</v>
      </c>
      <c r="X299" s="139" t="s">
        <v>244</v>
      </c>
      <c r="Y299" s="54">
        <v>0</v>
      </c>
    </row>
    <row r="300" spans="2:25" s="49" customFormat="1" ht="15.75" x14ac:dyDescent="0.25">
      <c r="B300" s="133"/>
      <c r="C300" s="134"/>
      <c r="D300" s="113"/>
      <c r="E300" s="114"/>
      <c r="F300" s="173"/>
      <c r="G300" s="116" t="s">
        <v>244</v>
      </c>
      <c r="H300" s="116" t="s">
        <v>244</v>
      </c>
      <c r="I300" s="113"/>
      <c r="J300" s="117" t="s">
        <v>244</v>
      </c>
      <c r="K300" s="118"/>
      <c r="L300" s="119">
        <v>0</v>
      </c>
      <c r="M300" s="120" t="s">
        <v>244</v>
      </c>
      <c r="N300" s="121" t="s">
        <v>244</v>
      </c>
      <c r="O300" s="122" t="s">
        <v>244</v>
      </c>
      <c r="P300" s="123" t="s">
        <v>244</v>
      </c>
      <c r="Q300" s="124"/>
      <c r="R300" s="135"/>
      <c r="S300" s="136"/>
      <c r="T300" s="137"/>
      <c r="U300" s="138" t="s">
        <v>244</v>
      </c>
      <c r="V300" s="138" t="s">
        <v>244</v>
      </c>
      <c r="W300" s="139" t="s">
        <v>244</v>
      </c>
      <c r="X300" s="139" t="s">
        <v>244</v>
      </c>
      <c r="Y300" s="54">
        <v>0</v>
      </c>
    </row>
    <row r="301" spans="2:25" s="49" customFormat="1" ht="15.75" x14ac:dyDescent="0.25">
      <c r="B301" s="133"/>
      <c r="C301" s="134"/>
      <c r="D301" s="113"/>
      <c r="E301" s="114"/>
      <c r="F301" s="173"/>
      <c r="G301" s="116" t="s">
        <v>244</v>
      </c>
      <c r="H301" s="116" t="s">
        <v>244</v>
      </c>
      <c r="I301" s="113"/>
      <c r="J301" s="117" t="s">
        <v>244</v>
      </c>
      <c r="K301" s="118"/>
      <c r="L301" s="119">
        <v>0</v>
      </c>
      <c r="M301" s="120" t="s">
        <v>244</v>
      </c>
      <c r="N301" s="121" t="s">
        <v>244</v>
      </c>
      <c r="O301" s="122" t="s">
        <v>244</v>
      </c>
      <c r="P301" s="123" t="s">
        <v>244</v>
      </c>
      <c r="Q301" s="124"/>
      <c r="R301" s="135"/>
      <c r="S301" s="136"/>
      <c r="T301" s="137"/>
      <c r="U301" s="138" t="s">
        <v>244</v>
      </c>
      <c r="V301" s="138" t="s">
        <v>244</v>
      </c>
      <c r="W301" s="139" t="s">
        <v>244</v>
      </c>
      <c r="X301" s="139" t="s">
        <v>244</v>
      </c>
      <c r="Y301" s="54">
        <v>0</v>
      </c>
    </row>
    <row r="302" spans="2:25" s="49" customFormat="1" ht="15.75" x14ac:dyDescent="0.25">
      <c r="B302" s="133"/>
      <c r="C302" s="134"/>
      <c r="D302" s="113"/>
      <c r="E302" s="114"/>
      <c r="F302" s="173"/>
      <c r="G302" s="116" t="s">
        <v>244</v>
      </c>
      <c r="H302" s="116" t="s">
        <v>244</v>
      </c>
      <c r="I302" s="113"/>
      <c r="J302" s="117" t="s">
        <v>244</v>
      </c>
      <c r="K302" s="118"/>
      <c r="L302" s="119">
        <v>0</v>
      </c>
      <c r="M302" s="120" t="s">
        <v>244</v>
      </c>
      <c r="N302" s="121" t="s">
        <v>244</v>
      </c>
      <c r="O302" s="122" t="s">
        <v>244</v>
      </c>
      <c r="P302" s="123" t="s">
        <v>244</v>
      </c>
      <c r="Q302" s="124"/>
      <c r="R302" s="135"/>
      <c r="S302" s="136"/>
      <c r="T302" s="137"/>
      <c r="U302" s="138" t="s">
        <v>244</v>
      </c>
      <c r="V302" s="138" t="s">
        <v>244</v>
      </c>
      <c r="W302" s="139" t="s">
        <v>244</v>
      </c>
      <c r="X302" s="139" t="s">
        <v>244</v>
      </c>
      <c r="Y302" s="54">
        <v>0</v>
      </c>
    </row>
    <row r="303" spans="2:25" s="49" customFormat="1" ht="15.75" x14ac:dyDescent="0.25">
      <c r="B303" s="133"/>
      <c r="C303" s="134"/>
      <c r="D303" s="113"/>
      <c r="E303" s="114"/>
      <c r="F303" s="173"/>
      <c r="G303" s="116" t="s">
        <v>244</v>
      </c>
      <c r="H303" s="116" t="s">
        <v>244</v>
      </c>
      <c r="I303" s="113"/>
      <c r="J303" s="117" t="s">
        <v>244</v>
      </c>
      <c r="K303" s="118"/>
      <c r="L303" s="119">
        <v>0</v>
      </c>
      <c r="M303" s="120" t="s">
        <v>244</v>
      </c>
      <c r="N303" s="121" t="s">
        <v>244</v>
      </c>
      <c r="O303" s="122" t="s">
        <v>244</v>
      </c>
      <c r="P303" s="123" t="s">
        <v>244</v>
      </c>
      <c r="Q303" s="124"/>
      <c r="R303" s="135"/>
      <c r="S303" s="136"/>
      <c r="T303" s="137"/>
      <c r="U303" s="138" t="s">
        <v>244</v>
      </c>
      <c r="V303" s="138" t="s">
        <v>244</v>
      </c>
      <c r="W303" s="139" t="s">
        <v>244</v>
      </c>
      <c r="X303" s="139" t="s">
        <v>244</v>
      </c>
      <c r="Y303" s="54">
        <v>0</v>
      </c>
    </row>
    <row r="304" spans="2:25" s="49" customFormat="1" ht="15.75" x14ac:dyDescent="0.25">
      <c r="B304" s="133"/>
      <c r="C304" s="134"/>
      <c r="D304" s="113"/>
      <c r="E304" s="114"/>
      <c r="F304" s="173"/>
      <c r="G304" s="116" t="s">
        <v>244</v>
      </c>
      <c r="H304" s="116" t="s">
        <v>244</v>
      </c>
      <c r="I304" s="113"/>
      <c r="J304" s="117" t="s">
        <v>244</v>
      </c>
      <c r="K304" s="118"/>
      <c r="L304" s="119">
        <v>0</v>
      </c>
      <c r="M304" s="120" t="s">
        <v>244</v>
      </c>
      <c r="N304" s="121" t="s">
        <v>244</v>
      </c>
      <c r="O304" s="122" t="s">
        <v>244</v>
      </c>
      <c r="P304" s="123" t="s">
        <v>244</v>
      </c>
      <c r="Q304" s="124"/>
      <c r="R304" s="135"/>
      <c r="S304" s="136"/>
      <c r="T304" s="137"/>
      <c r="U304" s="138" t="s">
        <v>244</v>
      </c>
      <c r="V304" s="138" t="s">
        <v>244</v>
      </c>
      <c r="W304" s="139" t="s">
        <v>244</v>
      </c>
      <c r="X304" s="139" t="s">
        <v>244</v>
      </c>
      <c r="Y304" s="54">
        <v>0</v>
      </c>
    </row>
    <row r="305" spans="2:25" s="49" customFormat="1" ht="15.75" x14ac:dyDescent="0.25">
      <c r="B305" s="133"/>
      <c r="C305" s="134"/>
      <c r="D305" s="113"/>
      <c r="E305" s="114"/>
      <c r="F305" s="173"/>
      <c r="G305" s="116" t="s">
        <v>244</v>
      </c>
      <c r="H305" s="116" t="s">
        <v>244</v>
      </c>
      <c r="I305" s="113"/>
      <c r="J305" s="117" t="s">
        <v>244</v>
      </c>
      <c r="K305" s="118"/>
      <c r="L305" s="119">
        <v>0</v>
      </c>
      <c r="M305" s="120" t="s">
        <v>244</v>
      </c>
      <c r="N305" s="121" t="s">
        <v>244</v>
      </c>
      <c r="O305" s="122" t="s">
        <v>244</v>
      </c>
      <c r="P305" s="123" t="s">
        <v>244</v>
      </c>
      <c r="Q305" s="124"/>
      <c r="R305" s="135"/>
      <c r="S305" s="136"/>
      <c r="T305" s="137"/>
      <c r="U305" s="138" t="s">
        <v>244</v>
      </c>
      <c r="V305" s="138" t="s">
        <v>244</v>
      </c>
      <c r="W305" s="139" t="s">
        <v>244</v>
      </c>
      <c r="X305" s="139" t="s">
        <v>244</v>
      </c>
      <c r="Y305" s="54">
        <v>0</v>
      </c>
    </row>
    <row r="306" spans="2:25" s="49" customFormat="1" ht="15.75" x14ac:dyDescent="0.25">
      <c r="B306" s="133"/>
      <c r="C306" s="134"/>
      <c r="D306" s="113"/>
      <c r="E306" s="114"/>
      <c r="F306" s="173"/>
      <c r="G306" s="116" t="s">
        <v>244</v>
      </c>
      <c r="H306" s="116" t="s">
        <v>244</v>
      </c>
      <c r="I306" s="113"/>
      <c r="J306" s="117" t="s">
        <v>244</v>
      </c>
      <c r="K306" s="118"/>
      <c r="L306" s="119">
        <v>0</v>
      </c>
      <c r="M306" s="120" t="s">
        <v>244</v>
      </c>
      <c r="N306" s="121" t="s">
        <v>244</v>
      </c>
      <c r="O306" s="122" t="s">
        <v>244</v>
      </c>
      <c r="P306" s="123" t="s">
        <v>244</v>
      </c>
      <c r="Q306" s="124"/>
      <c r="R306" s="135"/>
      <c r="S306" s="136"/>
      <c r="T306" s="137"/>
      <c r="U306" s="138" t="s">
        <v>244</v>
      </c>
      <c r="V306" s="138" t="s">
        <v>244</v>
      </c>
      <c r="W306" s="139" t="s">
        <v>244</v>
      </c>
      <c r="X306" s="139" t="s">
        <v>244</v>
      </c>
      <c r="Y306" s="54">
        <v>0</v>
      </c>
    </row>
    <row r="307" spans="2:25" s="49" customFormat="1" ht="15.75" x14ac:dyDescent="0.25">
      <c r="B307" s="133"/>
      <c r="C307" s="134"/>
      <c r="D307" s="113"/>
      <c r="E307" s="114"/>
      <c r="F307" s="173"/>
      <c r="G307" s="116" t="s">
        <v>244</v>
      </c>
      <c r="H307" s="116" t="s">
        <v>244</v>
      </c>
      <c r="I307" s="113"/>
      <c r="J307" s="117" t="s">
        <v>244</v>
      </c>
      <c r="K307" s="118"/>
      <c r="L307" s="119">
        <v>0</v>
      </c>
      <c r="M307" s="120" t="s">
        <v>244</v>
      </c>
      <c r="N307" s="121" t="s">
        <v>244</v>
      </c>
      <c r="O307" s="122" t="s">
        <v>244</v>
      </c>
      <c r="P307" s="123" t="s">
        <v>244</v>
      </c>
      <c r="Q307" s="124"/>
      <c r="R307" s="135"/>
      <c r="S307" s="136"/>
      <c r="T307" s="137"/>
      <c r="U307" s="138" t="s">
        <v>244</v>
      </c>
      <c r="V307" s="138" t="s">
        <v>244</v>
      </c>
      <c r="W307" s="139" t="s">
        <v>244</v>
      </c>
      <c r="X307" s="139" t="s">
        <v>244</v>
      </c>
      <c r="Y307" s="54">
        <v>0</v>
      </c>
    </row>
    <row r="308" spans="2:25" s="49" customFormat="1" ht="15.75" x14ac:dyDescent="0.25">
      <c r="B308" s="133"/>
      <c r="C308" s="134"/>
      <c r="D308" s="113"/>
      <c r="E308" s="114"/>
      <c r="F308" s="173"/>
      <c r="G308" s="116" t="s">
        <v>244</v>
      </c>
      <c r="H308" s="116" t="s">
        <v>244</v>
      </c>
      <c r="I308" s="113"/>
      <c r="J308" s="117" t="s">
        <v>244</v>
      </c>
      <c r="K308" s="118"/>
      <c r="L308" s="119">
        <v>0</v>
      </c>
      <c r="M308" s="120" t="s">
        <v>244</v>
      </c>
      <c r="N308" s="121" t="s">
        <v>244</v>
      </c>
      <c r="O308" s="122" t="s">
        <v>244</v>
      </c>
      <c r="P308" s="123" t="s">
        <v>244</v>
      </c>
      <c r="Q308" s="124"/>
      <c r="R308" s="135"/>
      <c r="S308" s="136"/>
      <c r="T308" s="137"/>
      <c r="U308" s="138" t="s">
        <v>244</v>
      </c>
      <c r="V308" s="138" t="s">
        <v>244</v>
      </c>
      <c r="W308" s="139" t="s">
        <v>244</v>
      </c>
      <c r="X308" s="139" t="s">
        <v>244</v>
      </c>
      <c r="Y308" s="54">
        <v>0</v>
      </c>
    </row>
    <row r="309" spans="2:25" s="49" customFormat="1" ht="15.75" x14ac:dyDescent="0.25">
      <c r="B309" s="133"/>
      <c r="C309" s="134"/>
      <c r="D309" s="113"/>
      <c r="E309" s="114"/>
      <c r="F309" s="173"/>
      <c r="G309" s="116" t="s">
        <v>244</v>
      </c>
      <c r="H309" s="116" t="s">
        <v>244</v>
      </c>
      <c r="I309" s="113"/>
      <c r="J309" s="117" t="s">
        <v>244</v>
      </c>
      <c r="K309" s="118"/>
      <c r="L309" s="119">
        <v>0</v>
      </c>
      <c r="M309" s="120" t="s">
        <v>244</v>
      </c>
      <c r="N309" s="121" t="s">
        <v>244</v>
      </c>
      <c r="O309" s="122" t="s">
        <v>244</v>
      </c>
      <c r="P309" s="123" t="s">
        <v>244</v>
      </c>
      <c r="Q309" s="124"/>
      <c r="R309" s="135"/>
      <c r="S309" s="136"/>
      <c r="T309" s="137"/>
      <c r="U309" s="138" t="s">
        <v>244</v>
      </c>
      <c r="V309" s="138" t="s">
        <v>244</v>
      </c>
      <c r="W309" s="139" t="s">
        <v>244</v>
      </c>
      <c r="X309" s="139" t="s">
        <v>244</v>
      </c>
      <c r="Y309" s="54">
        <v>0</v>
      </c>
    </row>
    <row r="310" spans="2:25" s="49" customFormat="1" ht="15.75" x14ac:dyDescent="0.25">
      <c r="B310" s="133"/>
      <c r="C310" s="134"/>
      <c r="D310" s="113"/>
      <c r="E310" s="114"/>
      <c r="F310" s="173"/>
      <c r="G310" s="116" t="s">
        <v>244</v>
      </c>
      <c r="H310" s="116" t="s">
        <v>244</v>
      </c>
      <c r="I310" s="113"/>
      <c r="J310" s="117" t="s">
        <v>244</v>
      </c>
      <c r="K310" s="118"/>
      <c r="L310" s="119">
        <v>0</v>
      </c>
      <c r="M310" s="120" t="s">
        <v>244</v>
      </c>
      <c r="N310" s="121" t="s">
        <v>244</v>
      </c>
      <c r="O310" s="122" t="s">
        <v>244</v>
      </c>
      <c r="P310" s="123" t="s">
        <v>244</v>
      </c>
      <c r="Q310" s="124"/>
      <c r="R310" s="135"/>
      <c r="S310" s="136"/>
      <c r="T310" s="137"/>
      <c r="U310" s="138" t="s">
        <v>244</v>
      </c>
      <c r="V310" s="138" t="s">
        <v>244</v>
      </c>
      <c r="W310" s="139" t="s">
        <v>244</v>
      </c>
      <c r="X310" s="139" t="s">
        <v>244</v>
      </c>
      <c r="Y310" s="54">
        <v>0</v>
      </c>
    </row>
    <row r="311" spans="2:25" s="49" customFormat="1" ht="15.75" x14ac:dyDescent="0.25">
      <c r="B311" s="133"/>
      <c r="C311" s="134"/>
      <c r="D311" s="113"/>
      <c r="E311" s="114"/>
      <c r="F311" s="173"/>
      <c r="G311" s="116" t="s">
        <v>244</v>
      </c>
      <c r="H311" s="116" t="s">
        <v>244</v>
      </c>
      <c r="I311" s="113"/>
      <c r="J311" s="117" t="s">
        <v>244</v>
      </c>
      <c r="K311" s="118"/>
      <c r="L311" s="119">
        <v>0</v>
      </c>
      <c r="M311" s="120" t="s">
        <v>244</v>
      </c>
      <c r="N311" s="121" t="s">
        <v>244</v>
      </c>
      <c r="O311" s="122" t="s">
        <v>244</v>
      </c>
      <c r="P311" s="123" t="s">
        <v>244</v>
      </c>
      <c r="Q311" s="124"/>
      <c r="R311" s="135"/>
      <c r="S311" s="136"/>
      <c r="T311" s="137"/>
      <c r="U311" s="138" t="s">
        <v>244</v>
      </c>
      <c r="V311" s="138" t="s">
        <v>244</v>
      </c>
      <c r="W311" s="139" t="s">
        <v>244</v>
      </c>
      <c r="X311" s="139" t="s">
        <v>244</v>
      </c>
      <c r="Y311" s="54">
        <v>0</v>
      </c>
    </row>
    <row r="312" spans="2:25" s="49" customFormat="1" ht="15.75" x14ac:dyDescent="0.25">
      <c r="B312" s="133"/>
      <c r="C312" s="134"/>
      <c r="D312" s="113"/>
      <c r="E312" s="114"/>
      <c r="F312" s="173"/>
      <c r="G312" s="116" t="s">
        <v>244</v>
      </c>
      <c r="H312" s="116" t="s">
        <v>244</v>
      </c>
      <c r="I312" s="113"/>
      <c r="J312" s="117" t="s">
        <v>244</v>
      </c>
      <c r="K312" s="118"/>
      <c r="L312" s="119">
        <v>0</v>
      </c>
      <c r="M312" s="120" t="s">
        <v>244</v>
      </c>
      <c r="N312" s="121" t="s">
        <v>244</v>
      </c>
      <c r="O312" s="122" t="s">
        <v>244</v>
      </c>
      <c r="P312" s="123" t="s">
        <v>244</v>
      </c>
      <c r="Q312" s="124"/>
      <c r="R312" s="135"/>
      <c r="S312" s="136"/>
      <c r="T312" s="137"/>
      <c r="U312" s="138" t="s">
        <v>244</v>
      </c>
      <c r="V312" s="138" t="s">
        <v>244</v>
      </c>
      <c r="W312" s="139" t="s">
        <v>244</v>
      </c>
      <c r="X312" s="139" t="s">
        <v>244</v>
      </c>
      <c r="Y312" s="54">
        <v>0</v>
      </c>
    </row>
    <row r="313" spans="2:25" s="49" customFormat="1" ht="15.75" x14ac:dyDescent="0.25">
      <c r="B313" s="133"/>
      <c r="C313" s="134"/>
      <c r="D313" s="113"/>
      <c r="E313" s="114"/>
      <c r="F313" s="173"/>
      <c r="G313" s="116" t="s">
        <v>244</v>
      </c>
      <c r="H313" s="116" t="s">
        <v>244</v>
      </c>
      <c r="I313" s="113"/>
      <c r="J313" s="117" t="s">
        <v>244</v>
      </c>
      <c r="K313" s="118"/>
      <c r="L313" s="119">
        <v>0</v>
      </c>
      <c r="M313" s="120" t="s">
        <v>244</v>
      </c>
      <c r="N313" s="121" t="s">
        <v>244</v>
      </c>
      <c r="O313" s="122" t="s">
        <v>244</v>
      </c>
      <c r="P313" s="123" t="s">
        <v>244</v>
      </c>
      <c r="Q313" s="124"/>
      <c r="R313" s="135"/>
      <c r="S313" s="136"/>
      <c r="T313" s="137"/>
      <c r="U313" s="138" t="s">
        <v>244</v>
      </c>
      <c r="V313" s="138" t="s">
        <v>244</v>
      </c>
      <c r="W313" s="139" t="s">
        <v>244</v>
      </c>
      <c r="X313" s="139" t="s">
        <v>244</v>
      </c>
      <c r="Y313" s="54">
        <v>0</v>
      </c>
    </row>
    <row r="314" spans="2:25" s="49" customFormat="1" ht="15.75" x14ac:dyDescent="0.25">
      <c r="B314" s="133"/>
      <c r="C314" s="134"/>
      <c r="D314" s="113"/>
      <c r="E314" s="114"/>
      <c r="F314" s="173"/>
      <c r="G314" s="116" t="s">
        <v>244</v>
      </c>
      <c r="H314" s="116" t="s">
        <v>244</v>
      </c>
      <c r="I314" s="113"/>
      <c r="J314" s="117" t="s">
        <v>244</v>
      </c>
      <c r="K314" s="118"/>
      <c r="L314" s="119">
        <v>0</v>
      </c>
      <c r="M314" s="120" t="s">
        <v>244</v>
      </c>
      <c r="N314" s="121" t="s">
        <v>244</v>
      </c>
      <c r="O314" s="122" t="s">
        <v>244</v>
      </c>
      <c r="P314" s="123" t="s">
        <v>244</v>
      </c>
      <c r="Q314" s="124"/>
      <c r="R314" s="135"/>
      <c r="S314" s="136"/>
      <c r="T314" s="137"/>
      <c r="U314" s="138" t="s">
        <v>244</v>
      </c>
      <c r="V314" s="138" t="s">
        <v>244</v>
      </c>
      <c r="W314" s="139" t="s">
        <v>244</v>
      </c>
      <c r="X314" s="139" t="s">
        <v>244</v>
      </c>
      <c r="Y314" s="54">
        <v>0</v>
      </c>
    </row>
    <row r="315" spans="2:25" s="49" customFormat="1" ht="15.75" x14ac:dyDescent="0.25">
      <c r="B315" s="133"/>
      <c r="C315" s="134"/>
      <c r="D315" s="113"/>
      <c r="E315" s="114"/>
      <c r="F315" s="173"/>
      <c r="G315" s="116" t="s">
        <v>244</v>
      </c>
      <c r="H315" s="116" t="s">
        <v>244</v>
      </c>
      <c r="I315" s="113"/>
      <c r="J315" s="117" t="s">
        <v>244</v>
      </c>
      <c r="K315" s="118"/>
      <c r="L315" s="119">
        <v>0</v>
      </c>
      <c r="M315" s="120" t="s">
        <v>244</v>
      </c>
      <c r="N315" s="121" t="s">
        <v>244</v>
      </c>
      <c r="O315" s="122" t="s">
        <v>244</v>
      </c>
      <c r="P315" s="123" t="s">
        <v>244</v>
      </c>
      <c r="Q315" s="124"/>
      <c r="R315" s="135"/>
      <c r="S315" s="136"/>
      <c r="T315" s="137"/>
      <c r="U315" s="138" t="s">
        <v>244</v>
      </c>
      <c r="V315" s="138" t="s">
        <v>244</v>
      </c>
      <c r="W315" s="139" t="s">
        <v>244</v>
      </c>
      <c r="X315" s="139" t="s">
        <v>244</v>
      </c>
      <c r="Y315" s="54">
        <v>0</v>
      </c>
    </row>
    <row r="316" spans="2:25" s="49" customFormat="1" ht="15.75" x14ac:dyDescent="0.25">
      <c r="B316" s="133"/>
      <c r="C316" s="134"/>
      <c r="D316" s="113"/>
      <c r="E316" s="114"/>
      <c r="F316" s="173"/>
      <c r="G316" s="116" t="s">
        <v>244</v>
      </c>
      <c r="H316" s="116" t="s">
        <v>244</v>
      </c>
      <c r="I316" s="113"/>
      <c r="J316" s="117" t="s">
        <v>244</v>
      </c>
      <c r="K316" s="118"/>
      <c r="L316" s="119">
        <v>0</v>
      </c>
      <c r="M316" s="120" t="s">
        <v>244</v>
      </c>
      <c r="N316" s="121" t="s">
        <v>244</v>
      </c>
      <c r="O316" s="122" t="s">
        <v>244</v>
      </c>
      <c r="P316" s="123" t="s">
        <v>244</v>
      </c>
      <c r="Q316" s="124"/>
      <c r="R316" s="135"/>
      <c r="S316" s="136"/>
      <c r="T316" s="137"/>
      <c r="U316" s="138" t="s">
        <v>244</v>
      </c>
      <c r="V316" s="138" t="s">
        <v>244</v>
      </c>
      <c r="W316" s="139" t="s">
        <v>244</v>
      </c>
      <c r="X316" s="139" t="s">
        <v>244</v>
      </c>
      <c r="Y316" s="54">
        <v>0</v>
      </c>
    </row>
    <row r="317" spans="2:25" s="49" customFormat="1" ht="15.75" x14ac:dyDescent="0.25">
      <c r="B317" s="133"/>
      <c r="C317" s="134"/>
      <c r="D317" s="113"/>
      <c r="E317" s="114"/>
      <c r="F317" s="173"/>
      <c r="G317" s="116" t="s">
        <v>244</v>
      </c>
      <c r="H317" s="116" t="s">
        <v>244</v>
      </c>
      <c r="I317" s="113"/>
      <c r="J317" s="117" t="s">
        <v>244</v>
      </c>
      <c r="K317" s="118"/>
      <c r="L317" s="119">
        <v>0</v>
      </c>
      <c r="M317" s="120" t="s">
        <v>244</v>
      </c>
      <c r="N317" s="121" t="s">
        <v>244</v>
      </c>
      <c r="O317" s="122" t="s">
        <v>244</v>
      </c>
      <c r="P317" s="123" t="s">
        <v>244</v>
      </c>
      <c r="Q317" s="124"/>
      <c r="R317" s="135"/>
      <c r="S317" s="136"/>
      <c r="T317" s="137"/>
      <c r="U317" s="138" t="s">
        <v>244</v>
      </c>
      <c r="V317" s="138" t="s">
        <v>244</v>
      </c>
      <c r="W317" s="139" t="s">
        <v>244</v>
      </c>
      <c r="X317" s="139" t="s">
        <v>244</v>
      </c>
      <c r="Y317" s="54">
        <v>0</v>
      </c>
    </row>
    <row r="318" spans="2:25" s="49" customFormat="1" ht="15.75" x14ac:dyDescent="0.25">
      <c r="B318" s="133"/>
      <c r="C318" s="134"/>
      <c r="D318" s="113"/>
      <c r="E318" s="114"/>
      <c r="F318" s="173"/>
      <c r="G318" s="116" t="s">
        <v>244</v>
      </c>
      <c r="H318" s="116" t="s">
        <v>244</v>
      </c>
      <c r="I318" s="113"/>
      <c r="J318" s="117" t="s">
        <v>244</v>
      </c>
      <c r="K318" s="118"/>
      <c r="L318" s="119">
        <v>0</v>
      </c>
      <c r="M318" s="120" t="s">
        <v>244</v>
      </c>
      <c r="N318" s="121" t="s">
        <v>244</v>
      </c>
      <c r="O318" s="122" t="s">
        <v>244</v>
      </c>
      <c r="P318" s="123" t="s">
        <v>244</v>
      </c>
      <c r="Q318" s="124"/>
      <c r="R318" s="135"/>
      <c r="S318" s="136"/>
      <c r="T318" s="137"/>
      <c r="U318" s="138" t="s">
        <v>244</v>
      </c>
      <c r="V318" s="138" t="s">
        <v>244</v>
      </c>
      <c r="W318" s="139" t="s">
        <v>244</v>
      </c>
      <c r="X318" s="139" t="s">
        <v>244</v>
      </c>
      <c r="Y318" s="54">
        <v>0</v>
      </c>
    </row>
    <row r="319" spans="2:25" s="49" customFormat="1" ht="15.75" x14ac:dyDescent="0.25">
      <c r="B319" s="133"/>
      <c r="C319" s="134"/>
      <c r="D319" s="113"/>
      <c r="E319" s="114"/>
      <c r="F319" s="173"/>
      <c r="G319" s="116" t="s">
        <v>244</v>
      </c>
      <c r="H319" s="116" t="s">
        <v>244</v>
      </c>
      <c r="I319" s="113"/>
      <c r="J319" s="117" t="s">
        <v>244</v>
      </c>
      <c r="K319" s="118"/>
      <c r="L319" s="119">
        <v>0</v>
      </c>
      <c r="M319" s="120" t="s">
        <v>244</v>
      </c>
      <c r="N319" s="121" t="s">
        <v>244</v>
      </c>
      <c r="O319" s="122" t="s">
        <v>244</v>
      </c>
      <c r="P319" s="123" t="s">
        <v>244</v>
      </c>
      <c r="Q319" s="124"/>
      <c r="R319" s="135"/>
      <c r="S319" s="136"/>
      <c r="T319" s="137"/>
      <c r="U319" s="138" t="s">
        <v>244</v>
      </c>
      <c r="V319" s="138" t="s">
        <v>244</v>
      </c>
      <c r="W319" s="139" t="s">
        <v>244</v>
      </c>
      <c r="X319" s="139" t="s">
        <v>244</v>
      </c>
      <c r="Y319" s="54">
        <v>0</v>
      </c>
    </row>
    <row r="320" spans="2:25" s="49" customFormat="1" ht="15.75" x14ac:dyDescent="0.25">
      <c r="B320" s="133"/>
      <c r="C320" s="134"/>
      <c r="D320" s="113"/>
      <c r="E320" s="114"/>
      <c r="F320" s="173"/>
      <c r="G320" s="116" t="s">
        <v>244</v>
      </c>
      <c r="H320" s="116" t="s">
        <v>244</v>
      </c>
      <c r="I320" s="113"/>
      <c r="J320" s="117" t="s">
        <v>244</v>
      </c>
      <c r="K320" s="118"/>
      <c r="L320" s="119">
        <v>0</v>
      </c>
      <c r="M320" s="120" t="s">
        <v>244</v>
      </c>
      <c r="N320" s="121" t="s">
        <v>244</v>
      </c>
      <c r="O320" s="122" t="s">
        <v>244</v>
      </c>
      <c r="P320" s="123" t="s">
        <v>244</v>
      </c>
      <c r="Q320" s="124"/>
      <c r="R320" s="135"/>
      <c r="S320" s="136"/>
      <c r="T320" s="137"/>
      <c r="U320" s="138" t="s">
        <v>244</v>
      </c>
      <c r="V320" s="138" t="s">
        <v>244</v>
      </c>
      <c r="W320" s="139" t="s">
        <v>244</v>
      </c>
      <c r="X320" s="139" t="s">
        <v>244</v>
      </c>
      <c r="Y320" s="54">
        <v>0</v>
      </c>
    </row>
    <row r="321" spans="2:25" s="49" customFormat="1" ht="15.75" x14ac:dyDescent="0.25">
      <c r="B321" s="133"/>
      <c r="C321" s="134"/>
      <c r="D321" s="113"/>
      <c r="E321" s="114"/>
      <c r="F321" s="173"/>
      <c r="G321" s="116" t="s">
        <v>244</v>
      </c>
      <c r="H321" s="116" t="s">
        <v>244</v>
      </c>
      <c r="I321" s="113"/>
      <c r="J321" s="117" t="s">
        <v>244</v>
      </c>
      <c r="K321" s="118"/>
      <c r="L321" s="119">
        <v>0</v>
      </c>
      <c r="M321" s="120" t="s">
        <v>244</v>
      </c>
      <c r="N321" s="121" t="s">
        <v>244</v>
      </c>
      <c r="O321" s="122" t="s">
        <v>244</v>
      </c>
      <c r="P321" s="123" t="s">
        <v>244</v>
      </c>
      <c r="Q321" s="124"/>
      <c r="R321" s="135"/>
      <c r="S321" s="136"/>
      <c r="T321" s="137"/>
      <c r="U321" s="138" t="s">
        <v>244</v>
      </c>
      <c r="V321" s="138" t="s">
        <v>244</v>
      </c>
      <c r="W321" s="139" t="s">
        <v>244</v>
      </c>
      <c r="X321" s="139" t="s">
        <v>244</v>
      </c>
      <c r="Y321" s="54">
        <v>0</v>
      </c>
    </row>
    <row r="322" spans="2:25" s="49" customFormat="1" ht="15.75" x14ac:dyDescent="0.25">
      <c r="B322" s="133"/>
      <c r="C322" s="134"/>
      <c r="D322" s="113"/>
      <c r="E322" s="114"/>
      <c r="F322" s="173"/>
      <c r="G322" s="116" t="s">
        <v>244</v>
      </c>
      <c r="H322" s="116" t="s">
        <v>244</v>
      </c>
      <c r="I322" s="113"/>
      <c r="J322" s="117" t="s">
        <v>244</v>
      </c>
      <c r="K322" s="118"/>
      <c r="L322" s="119">
        <v>0</v>
      </c>
      <c r="M322" s="120" t="s">
        <v>244</v>
      </c>
      <c r="N322" s="121" t="s">
        <v>244</v>
      </c>
      <c r="O322" s="122" t="s">
        <v>244</v>
      </c>
      <c r="P322" s="123" t="s">
        <v>244</v>
      </c>
      <c r="Q322" s="124"/>
      <c r="R322" s="135"/>
      <c r="S322" s="136"/>
      <c r="T322" s="137"/>
      <c r="U322" s="138" t="s">
        <v>244</v>
      </c>
      <c r="V322" s="138" t="s">
        <v>244</v>
      </c>
      <c r="W322" s="139" t="s">
        <v>244</v>
      </c>
      <c r="X322" s="139" t="s">
        <v>244</v>
      </c>
      <c r="Y322" s="54">
        <v>0</v>
      </c>
    </row>
    <row r="323" spans="2:25" s="49" customFormat="1" ht="15.75" x14ac:dyDescent="0.25">
      <c r="B323" s="133"/>
      <c r="C323" s="134"/>
      <c r="D323" s="113"/>
      <c r="E323" s="114"/>
      <c r="F323" s="173"/>
      <c r="G323" s="116" t="s">
        <v>244</v>
      </c>
      <c r="H323" s="116" t="s">
        <v>244</v>
      </c>
      <c r="I323" s="113"/>
      <c r="J323" s="117" t="s">
        <v>244</v>
      </c>
      <c r="K323" s="118"/>
      <c r="L323" s="119">
        <v>0</v>
      </c>
      <c r="M323" s="120" t="s">
        <v>244</v>
      </c>
      <c r="N323" s="121" t="s">
        <v>244</v>
      </c>
      <c r="O323" s="122" t="s">
        <v>244</v>
      </c>
      <c r="P323" s="123" t="s">
        <v>244</v>
      </c>
      <c r="Q323" s="124"/>
      <c r="R323" s="135"/>
      <c r="S323" s="136"/>
      <c r="T323" s="137"/>
      <c r="U323" s="138" t="s">
        <v>244</v>
      </c>
      <c r="V323" s="138" t="s">
        <v>244</v>
      </c>
      <c r="W323" s="139" t="s">
        <v>244</v>
      </c>
      <c r="X323" s="139" t="s">
        <v>244</v>
      </c>
      <c r="Y323" s="54">
        <v>0</v>
      </c>
    </row>
    <row r="324" spans="2:25" s="49" customFormat="1" ht="15.75" x14ac:dyDescent="0.25">
      <c r="B324" s="133"/>
      <c r="C324" s="134"/>
      <c r="D324" s="113"/>
      <c r="E324" s="114"/>
      <c r="F324" s="173"/>
      <c r="G324" s="116" t="s">
        <v>244</v>
      </c>
      <c r="H324" s="116" t="s">
        <v>244</v>
      </c>
      <c r="I324" s="113"/>
      <c r="J324" s="117" t="s">
        <v>244</v>
      </c>
      <c r="K324" s="118"/>
      <c r="L324" s="119">
        <v>0</v>
      </c>
      <c r="M324" s="120" t="s">
        <v>244</v>
      </c>
      <c r="N324" s="121" t="s">
        <v>244</v>
      </c>
      <c r="O324" s="122" t="s">
        <v>244</v>
      </c>
      <c r="P324" s="123" t="s">
        <v>244</v>
      </c>
      <c r="Q324" s="124"/>
      <c r="R324" s="135"/>
      <c r="S324" s="136"/>
      <c r="T324" s="137"/>
      <c r="U324" s="138" t="s">
        <v>244</v>
      </c>
      <c r="V324" s="138" t="s">
        <v>244</v>
      </c>
      <c r="W324" s="139" t="s">
        <v>244</v>
      </c>
      <c r="X324" s="139" t="s">
        <v>244</v>
      </c>
      <c r="Y324" s="54">
        <v>0</v>
      </c>
    </row>
    <row r="325" spans="2:25" s="49" customFormat="1" ht="15.75" x14ac:dyDescent="0.25">
      <c r="B325" s="133"/>
      <c r="C325" s="134"/>
      <c r="D325" s="113"/>
      <c r="E325" s="114"/>
      <c r="F325" s="173"/>
      <c r="G325" s="116" t="s">
        <v>244</v>
      </c>
      <c r="H325" s="116" t="s">
        <v>244</v>
      </c>
      <c r="I325" s="113"/>
      <c r="J325" s="117" t="s">
        <v>244</v>
      </c>
      <c r="K325" s="118"/>
      <c r="L325" s="119">
        <v>0</v>
      </c>
      <c r="M325" s="120" t="s">
        <v>244</v>
      </c>
      <c r="N325" s="121" t="s">
        <v>244</v>
      </c>
      <c r="O325" s="122" t="s">
        <v>244</v>
      </c>
      <c r="P325" s="123" t="s">
        <v>244</v>
      </c>
      <c r="Q325" s="124"/>
      <c r="R325" s="135"/>
      <c r="S325" s="136"/>
      <c r="T325" s="137"/>
      <c r="U325" s="138" t="s">
        <v>244</v>
      </c>
      <c r="V325" s="138" t="s">
        <v>244</v>
      </c>
      <c r="W325" s="139" t="s">
        <v>244</v>
      </c>
      <c r="X325" s="139" t="s">
        <v>244</v>
      </c>
      <c r="Y325" s="54">
        <v>0</v>
      </c>
    </row>
    <row r="326" spans="2:25" s="49" customFormat="1" ht="15.75" x14ac:dyDescent="0.25">
      <c r="B326" s="133"/>
      <c r="C326" s="134"/>
      <c r="D326" s="113"/>
      <c r="E326" s="114"/>
      <c r="F326" s="173"/>
      <c r="G326" s="116" t="s">
        <v>244</v>
      </c>
      <c r="H326" s="116" t="s">
        <v>244</v>
      </c>
      <c r="I326" s="113"/>
      <c r="J326" s="117" t="s">
        <v>244</v>
      </c>
      <c r="K326" s="118"/>
      <c r="L326" s="119">
        <v>0</v>
      </c>
      <c r="M326" s="120" t="s">
        <v>244</v>
      </c>
      <c r="N326" s="121" t="s">
        <v>244</v>
      </c>
      <c r="O326" s="122" t="s">
        <v>244</v>
      </c>
      <c r="P326" s="123" t="s">
        <v>244</v>
      </c>
      <c r="Q326" s="124"/>
      <c r="R326" s="135"/>
      <c r="S326" s="136"/>
      <c r="T326" s="137"/>
      <c r="U326" s="138" t="s">
        <v>244</v>
      </c>
      <c r="V326" s="138" t="s">
        <v>244</v>
      </c>
      <c r="W326" s="139" t="s">
        <v>244</v>
      </c>
      <c r="X326" s="139" t="s">
        <v>244</v>
      </c>
      <c r="Y326" s="54">
        <v>0</v>
      </c>
    </row>
    <row r="327" spans="2:25" s="49" customFormat="1" ht="15.75" x14ac:dyDescent="0.25">
      <c r="B327" s="133"/>
      <c r="C327" s="134"/>
      <c r="D327" s="113"/>
      <c r="E327" s="114"/>
      <c r="F327" s="173"/>
      <c r="G327" s="116" t="s">
        <v>244</v>
      </c>
      <c r="H327" s="116" t="s">
        <v>244</v>
      </c>
      <c r="I327" s="113"/>
      <c r="J327" s="117" t="s">
        <v>244</v>
      </c>
      <c r="K327" s="118"/>
      <c r="L327" s="119">
        <v>0</v>
      </c>
      <c r="M327" s="120" t="s">
        <v>244</v>
      </c>
      <c r="N327" s="121" t="s">
        <v>244</v>
      </c>
      <c r="O327" s="122" t="s">
        <v>244</v>
      </c>
      <c r="P327" s="123" t="s">
        <v>244</v>
      </c>
      <c r="Q327" s="124"/>
      <c r="R327" s="135"/>
      <c r="S327" s="136"/>
      <c r="T327" s="137"/>
      <c r="U327" s="138" t="s">
        <v>244</v>
      </c>
      <c r="V327" s="138" t="s">
        <v>244</v>
      </c>
      <c r="W327" s="139" t="s">
        <v>244</v>
      </c>
      <c r="X327" s="139" t="s">
        <v>244</v>
      </c>
      <c r="Y327" s="54">
        <v>0</v>
      </c>
    </row>
    <row r="328" spans="2:25" s="49" customFormat="1" ht="15.75" x14ac:dyDescent="0.25">
      <c r="B328" s="133"/>
      <c r="C328" s="134"/>
      <c r="D328" s="113"/>
      <c r="E328" s="114"/>
      <c r="F328" s="173"/>
      <c r="G328" s="116" t="s">
        <v>244</v>
      </c>
      <c r="H328" s="116" t="s">
        <v>244</v>
      </c>
      <c r="I328" s="113"/>
      <c r="J328" s="117" t="s">
        <v>244</v>
      </c>
      <c r="K328" s="118"/>
      <c r="L328" s="119">
        <v>0</v>
      </c>
      <c r="M328" s="120" t="s">
        <v>244</v>
      </c>
      <c r="N328" s="121" t="s">
        <v>244</v>
      </c>
      <c r="O328" s="122" t="s">
        <v>244</v>
      </c>
      <c r="P328" s="123" t="s">
        <v>244</v>
      </c>
      <c r="Q328" s="124"/>
      <c r="R328" s="135"/>
      <c r="S328" s="136"/>
      <c r="T328" s="137"/>
      <c r="U328" s="138" t="s">
        <v>244</v>
      </c>
      <c r="V328" s="138" t="s">
        <v>244</v>
      </c>
      <c r="W328" s="139" t="s">
        <v>244</v>
      </c>
      <c r="X328" s="139" t="s">
        <v>244</v>
      </c>
      <c r="Y328" s="54">
        <v>0</v>
      </c>
    </row>
    <row r="329" spans="2:25" s="49" customFormat="1" ht="15.75" x14ac:dyDescent="0.25">
      <c r="B329" s="133"/>
      <c r="C329" s="134"/>
      <c r="D329" s="113"/>
      <c r="E329" s="114"/>
      <c r="F329" s="173"/>
      <c r="G329" s="116" t="s">
        <v>244</v>
      </c>
      <c r="H329" s="116" t="s">
        <v>244</v>
      </c>
      <c r="I329" s="113"/>
      <c r="J329" s="117" t="s">
        <v>244</v>
      </c>
      <c r="K329" s="118"/>
      <c r="L329" s="119">
        <v>0</v>
      </c>
      <c r="M329" s="120" t="s">
        <v>244</v>
      </c>
      <c r="N329" s="121" t="s">
        <v>244</v>
      </c>
      <c r="O329" s="122" t="s">
        <v>244</v>
      </c>
      <c r="P329" s="123" t="s">
        <v>244</v>
      </c>
      <c r="Q329" s="124"/>
      <c r="R329" s="135"/>
      <c r="S329" s="136"/>
      <c r="T329" s="137"/>
      <c r="U329" s="138" t="s">
        <v>244</v>
      </c>
      <c r="V329" s="138" t="s">
        <v>244</v>
      </c>
      <c r="W329" s="139" t="s">
        <v>244</v>
      </c>
      <c r="X329" s="139" t="s">
        <v>244</v>
      </c>
      <c r="Y329" s="54">
        <v>0</v>
      </c>
    </row>
    <row r="330" spans="2:25" s="49" customFormat="1" ht="15.75" x14ac:dyDescent="0.25">
      <c r="B330" s="133"/>
      <c r="C330" s="134"/>
      <c r="D330" s="113"/>
      <c r="E330" s="114"/>
      <c r="F330" s="173"/>
      <c r="G330" s="116" t="s">
        <v>244</v>
      </c>
      <c r="H330" s="116" t="s">
        <v>244</v>
      </c>
      <c r="I330" s="113"/>
      <c r="J330" s="117" t="s">
        <v>244</v>
      </c>
      <c r="K330" s="118"/>
      <c r="L330" s="119">
        <v>0</v>
      </c>
      <c r="M330" s="120" t="s">
        <v>244</v>
      </c>
      <c r="N330" s="121" t="s">
        <v>244</v>
      </c>
      <c r="O330" s="122" t="s">
        <v>244</v>
      </c>
      <c r="P330" s="123" t="s">
        <v>244</v>
      </c>
      <c r="Q330" s="124"/>
      <c r="R330" s="135"/>
      <c r="S330" s="136"/>
      <c r="T330" s="137"/>
      <c r="U330" s="138" t="s">
        <v>244</v>
      </c>
      <c r="V330" s="138" t="s">
        <v>244</v>
      </c>
      <c r="W330" s="139" t="s">
        <v>244</v>
      </c>
      <c r="X330" s="139" t="s">
        <v>244</v>
      </c>
      <c r="Y330" s="54">
        <v>0</v>
      </c>
    </row>
    <row r="331" spans="2:25" s="49" customFormat="1" ht="15.75" x14ac:dyDescent="0.25">
      <c r="B331" s="133"/>
      <c r="C331" s="134"/>
      <c r="D331" s="113"/>
      <c r="E331" s="114"/>
      <c r="F331" s="173"/>
      <c r="G331" s="116" t="s">
        <v>244</v>
      </c>
      <c r="H331" s="116" t="s">
        <v>244</v>
      </c>
      <c r="I331" s="113"/>
      <c r="J331" s="117" t="s">
        <v>244</v>
      </c>
      <c r="K331" s="118"/>
      <c r="L331" s="119">
        <v>0</v>
      </c>
      <c r="M331" s="120" t="s">
        <v>244</v>
      </c>
      <c r="N331" s="121" t="s">
        <v>244</v>
      </c>
      <c r="O331" s="122" t="s">
        <v>244</v>
      </c>
      <c r="P331" s="123" t="s">
        <v>244</v>
      </c>
      <c r="Q331" s="124"/>
      <c r="R331" s="135"/>
      <c r="S331" s="136"/>
      <c r="T331" s="137"/>
      <c r="U331" s="138" t="s">
        <v>244</v>
      </c>
      <c r="V331" s="138" t="s">
        <v>244</v>
      </c>
      <c r="W331" s="139" t="s">
        <v>244</v>
      </c>
      <c r="X331" s="139" t="s">
        <v>244</v>
      </c>
      <c r="Y331" s="54">
        <v>0</v>
      </c>
    </row>
    <row r="332" spans="2:25" s="49" customFormat="1" ht="15.75" x14ac:dyDescent="0.25">
      <c r="B332" s="133"/>
      <c r="C332" s="134"/>
      <c r="D332" s="113"/>
      <c r="E332" s="114"/>
      <c r="F332" s="173"/>
      <c r="G332" s="116" t="s">
        <v>244</v>
      </c>
      <c r="H332" s="116" t="s">
        <v>244</v>
      </c>
      <c r="I332" s="113"/>
      <c r="J332" s="117" t="s">
        <v>244</v>
      </c>
      <c r="K332" s="118"/>
      <c r="L332" s="119">
        <v>0</v>
      </c>
      <c r="M332" s="120" t="s">
        <v>244</v>
      </c>
      <c r="N332" s="121" t="s">
        <v>244</v>
      </c>
      <c r="O332" s="122" t="s">
        <v>244</v>
      </c>
      <c r="P332" s="123" t="s">
        <v>244</v>
      </c>
      <c r="Q332" s="124"/>
      <c r="R332" s="135"/>
      <c r="S332" s="136"/>
      <c r="T332" s="137"/>
      <c r="U332" s="138" t="s">
        <v>244</v>
      </c>
      <c r="V332" s="138" t="s">
        <v>244</v>
      </c>
      <c r="W332" s="139" t="s">
        <v>244</v>
      </c>
      <c r="X332" s="139" t="s">
        <v>244</v>
      </c>
      <c r="Y332" s="54">
        <v>0</v>
      </c>
    </row>
    <row r="333" spans="2:25" s="49" customFormat="1" ht="15.75" x14ac:dyDescent="0.25">
      <c r="B333" s="133"/>
      <c r="C333" s="134"/>
      <c r="D333" s="113"/>
      <c r="E333" s="114"/>
      <c r="F333" s="173"/>
      <c r="G333" s="116" t="s">
        <v>244</v>
      </c>
      <c r="H333" s="116" t="s">
        <v>244</v>
      </c>
      <c r="I333" s="113"/>
      <c r="J333" s="117" t="s">
        <v>244</v>
      </c>
      <c r="K333" s="118"/>
      <c r="L333" s="119">
        <v>0</v>
      </c>
      <c r="M333" s="120" t="s">
        <v>244</v>
      </c>
      <c r="N333" s="121" t="s">
        <v>244</v>
      </c>
      <c r="O333" s="122" t="s">
        <v>244</v>
      </c>
      <c r="P333" s="123" t="s">
        <v>244</v>
      </c>
      <c r="Q333" s="124"/>
      <c r="R333" s="135"/>
      <c r="S333" s="136"/>
      <c r="T333" s="137"/>
      <c r="U333" s="138" t="s">
        <v>244</v>
      </c>
      <c r="V333" s="138" t="s">
        <v>244</v>
      </c>
      <c r="W333" s="139" t="s">
        <v>244</v>
      </c>
      <c r="X333" s="139" t="s">
        <v>244</v>
      </c>
      <c r="Y333" s="54">
        <v>0</v>
      </c>
    </row>
    <row r="334" spans="2:25" s="49" customFormat="1" ht="15.75" x14ac:dyDescent="0.25">
      <c r="B334" s="133"/>
      <c r="C334" s="134"/>
      <c r="D334" s="113"/>
      <c r="E334" s="114"/>
      <c r="F334" s="173"/>
      <c r="G334" s="116" t="s">
        <v>244</v>
      </c>
      <c r="H334" s="116" t="s">
        <v>244</v>
      </c>
      <c r="I334" s="113"/>
      <c r="J334" s="117" t="s">
        <v>244</v>
      </c>
      <c r="K334" s="118"/>
      <c r="L334" s="119">
        <v>0</v>
      </c>
      <c r="M334" s="120" t="s">
        <v>244</v>
      </c>
      <c r="N334" s="121" t="s">
        <v>244</v>
      </c>
      <c r="O334" s="122" t="s">
        <v>244</v>
      </c>
      <c r="P334" s="123" t="s">
        <v>244</v>
      </c>
      <c r="Q334" s="124"/>
      <c r="R334" s="135"/>
      <c r="S334" s="136"/>
      <c r="T334" s="137"/>
      <c r="U334" s="138" t="s">
        <v>244</v>
      </c>
      <c r="V334" s="138" t="s">
        <v>244</v>
      </c>
      <c r="W334" s="139" t="s">
        <v>244</v>
      </c>
      <c r="X334" s="139" t="s">
        <v>244</v>
      </c>
      <c r="Y334" s="54">
        <v>0</v>
      </c>
    </row>
    <row r="335" spans="2:25" s="49" customFormat="1" ht="15.75" x14ac:dyDescent="0.25">
      <c r="B335" s="133"/>
      <c r="C335" s="134"/>
      <c r="D335" s="113"/>
      <c r="E335" s="114"/>
      <c r="F335" s="173"/>
      <c r="G335" s="116" t="s">
        <v>244</v>
      </c>
      <c r="H335" s="116" t="s">
        <v>244</v>
      </c>
      <c r="I335" s="113"/>
      <c r="J335" s="117" t="s">
        <v>244</v>
      </c>
      <c r="K335" s="118"/>
      <c r="L335" s="119">
        <v>0</v>
      </c>
      <c r="M335" s="120" t="s">
        <v>244</v>
      </c>
      <c r="N335" s="121" t="s">
        <v>244</v>
      </c>
      <c r="O335" s="122" t="s">
        <v>244</v>
      </c>
      <c r="P335" s="123" t="s">
        <v>244</v>
      </c>
      <c r="Q335" s="124"/>
      <c r="R335" s="135"/>
      <c r="S335" s="136"/>
      <c r="T335" s="137"/>
      <c r="U335" s="138" t="s">
        <v>244</v>
      </c>
      <c r="V335" s="138" t="s">
        <v>244</v>
      </c>
      <c r="W335" s="139" t="s">
        <v>244</v>
      </c>
      <c r="X335" s="139" t="s">
        <v>244</v>
      </c>
      <c r="Y335" s="54">
        <v>0</v>
      </c>
    </row>
    <row r="336" spans="2:25" s="49" customFormat="1" ht="15.75" x14ac:dyDescent="0.25">
      <c r="B336" s="133"/>
      <c r="C336" s="134"/>
      <c r="D336" s="113"/>
      <c r="E336" s="114"/>
      <c r="F336" s="173"/>
      <c r="G336" s="116" t="s">
        <v>244</v>
      </c>
      <c r="H336" s="116" t="s">
        <v>244</v>
      </c>
      <c r="I336" s="113"/>
      <c r="J336" s="117" t="s">
        <v>244</v>
      </c>
      <c r="K336" s="118"/>
      <c r="L336" s="119">
        <v>0</v>
      </c>
      <c r="M336" s="120" t="s">
        <v>244</v>
      </c>
      <c r="N336" s="121" t="s">
        <v>244</v>
      </c>
      <c r="O336" s="122" t="s">
        <v>244</v>
      </c>
      <c r="P336" s="123" t="s">
        <v>244</v>
      </c>
      <c r="Q336" s="124"/>
      <c r="R336" s="135"/>
      <c r="S336" s="136"/>
      <c r="T336" s="137"/>
      <c r="U336" s="138" t="s">
        <v>244</v>
      </c>
      <c r="V336" s="138" t="s">
        <v>244</v>
      </c>
      <c r="W336" s="139" t="s">
        <v>244</v>
      </c>
      <c r="X336" s="139" t="s">
        <v>244</v>
      </c>
      <c r="Y336" s="54">
        <v>0</v>
      </c>
    </row>
    <row r="337" spans="2:25" s="49" customFormat="1" ht="15.75" x14ac:dyDescent="0.25">
      <c r="B337" s="133"/>
      <c r="C337" s="134"/>
      <c r="D337" s="113"/>
      <c r="E337" s="114"/>
      <c r="F337" s="173"/>
      <c r="G337" s="116" t="s">
        <v>244</v>
      </c>
      <c r="H337" s="116" t="s">
        <v>244</v>
      </c>
      <c r="I337" s="113"/>
      <c r="J337" s="117" t="s">
        <v>244</v>
      </c>
      <c r="K337" s="118"/>
      <c r="L337" s="119">
        <v>0</v>
      </c>
      <c r="M337" s="120" t="s">
        <v>244</v>
      </c>
      <c r="N337" s="121" t="s">
        <v>244</v>
      </c>
      <c r="O337" s="122" t="s">
        <v>244</v>
      </c>
      <c r="P337" s="123" t="s">
        <v>244</v>
      </c>
      <c r="Q337" s="124"/>
      <c r="R337" s="135"/>
      <c r="S337" s="136"/>
      <c r="T337" s="137"/>
      <c r="U337" s="138" t="s">
        <v>244</v>
      </c>
      <c r="V337" s="138" t="s">
        <v>244</v>
      </c>
      <c r="W337" s="139" t="s">
        <v>244</v>
      </c>
      <c r="X337" s="139" t="s">
        <v>244</v>
      </c>
      <c r="Y337" s="54">
        <v>0</v>
      </c>
    </row>
    <row r="338" spans="2:25" s="49" customFormat="1" ht="15.75" x14ac:dyDescent="0.25">
      <c r="B338" s="133"/>
      <c r="C338" s="134"/>
      <c r="D338" s="113"/>
      <c r="E338" s="114"/>
      <c r="F338" s="173"/>
      <c r="G338" s="116" t="s">
        <v>244</v>
      </c>
      <c r="H338" s="116" t="s">
        <v>244</v>
      </c>
      <c r="I338" s="113"/>
      <c r="J338" s="117" t="s">
        <v>244</v>
      </c>
      <c r="K338" s="118"/>
      <c r="L338" s="119">
        <v>0</v>
      </c>
      <c r="M338" s="120" t="s">
        <v>244</v>
      </c>
      <c r="N338" s="121" t="s">
        <v>244</v>
      </c>
      <c r="O338" s="122" t="s">
        <v>244</v>
      </c>
      <c r="P338" s="123" t="s">
        <v>244</v>
      </c>
      <c r="Q338" s="124"/>
      <c r="R338" s="135"/>
      <c r="S338" s="136"/>
      <c r="T338" s="137"/>
      <c r="U338" s="138" t="s">
        <v>244</v>
      </c>
      <c r="V338" s="138" t="s">
        <v>244</v>
      </c>
      <c r="W338" s="139" t="s">
        <v>244</v>
      </c>
      <c r="X338" s="139" t="s">
        <v>244</v>
      </c>
      <c r="Y338" s="54">
        <v>0</v>
      </c>
    </row>
    <row r="339" spans="2:25" s="49" customFormat="1" ht="15.75" x14ac:dyDescent="0.25">
      <c r="B339" s="133"/>
      <c r="C339" s="134"/>
      <c r="D339" s="113"/>
      <c r="E339" s="114"/>
      <c r="F339" s="173"/>
      <c r="G339" s="116" t="s">
        <v>244</v>
      </c>
      <c r="H339" s="116" t="s">
        <v>244</v>
      </c>
      <c r="I339" s="113"/>
      <c r="J339" s="117" t="s">
        <v>244</v>
      </c>
      <c r="K339" s="118"/>
      <c r="L339" s="119">
        <v>0</v>
      </c>
      <c r="M339" s="120" t="s">
        <v>244</v>
      </c>
      <c r="N339" s="121" t="s">
        <v>244</v>
      </c>
      <c r="O339" s="122" t="s">
        <v>244</v>
      </c>
      <c r="P339" s="123" t="s">
        <v>244</v>
      </c>
      <c r="Q339" s="124"/>
      <c r="R339" s="135"/>
      <c r="S339" s="136"/>
      <c r="T339" s="137"/>
      <c r="U339" s="138" t="s">
        <v>244</v>
      </c>
      <c r="V339" s="138" t="s">
        <v>244</v>
      </c>
      <c r="W339" s="139" t="s">
        <v>244</v>
      </c>
      <c r="X339" s="139" t="s">
        <v>244</v>
      </c>
      <c r="Y339" s="54">
        <v>0</v>
      </c>
    </row>
    <row r="340" spans="2:25" s="49" customFormat="1" ht="15.75" x14ac:dyDescent="0.25">
      <c r="B340" s="133"/>
      <c r="C340" s="134"/>
      <c r="D340" s="113"/>
      <c r="E340" s="114"/>
      <c r="F340" s="173"/>
      <c r="G340" s="116" t="s">
        <v>244</v>
      </c>
      <c r="H340" s="116" t="s">
        <v>244</v>
      </c>
      <c r="I340" s="113"/>
      <c r="J340" s="117" t="s">
        <v>244</v>
      </c>
      <c r="K340" s="118"/>
      <c r="L340" s="119">
        <v>0</v>
      </c>
      <c r="M340" s="120" t="s">
        <v>244</v>
      </c>
      <c r="N340" s="121" t="s">
        <v>244</v>
      </c>
      <c r="O340" s="122" t="s">
        <v>244</v>
      </c>
      <c r="P340" s="123" t="s">
        <v>244</v>
      </c>
      <c r="Q340" s="124"/>
      <c r="R340" s="135"/>
      <c r="S340" s="136"/>
      <c r="T340" s="137"/>
      <c r="U340" s="138" t="s">
        <v>244</v>
      </c>
      <c r="V340" s="138" t="s">
        <v>244</v>
      </c>
      <c r="W340" s="139" t="s">
        <v>244</v>
      </c>
      <c r="X340" s="139" t="s">
        <v>244</v>
      </c>
      <c r="Y340" s="54">
        <v>0</v>
      </c>
    </row>
    <row r="341" spans="2:25" s="49" customFormat="1" ht="15.75" x14ac:dyDescent="0.25">
      <c r="B341" s="133"/>
      <c r="C341" s="134"/>
      <c r="D341" s="113"/>
      <c r="E341" s="114"/>
      <c r="F341" s="173"/>
      <c r="G341" s="116" t="s">
        <v>244</v>
      </c>
      <c r="H341" s="116" t="s">
        <v>244</v>
      </c>
      <c r="I341" s="113"/>
      <c r="J341" s="117" t="s">
        <v>244</v>
      </c>
      <c r="K341" s="118"/>
      <c r="L341" s="119">
        <v>0</v>
      </c>
      <c r="M341" s="120" t="s">
        <v>244</v>
      </c>
      <c r="N341" s="121" t="s">
        <v>244</v>
      </c>
      <c r="O341" s="122" t="s">
        <v>244</v>
      </c>
      <c r="P341" s="123" t="s">
        <v>244</v>
      </c>
      <c r="Q341" s="124"/>
      <c r="R341" s="135"/>
      <c r="S341" s="136"/>
      <c r="T341" s="137"/>
      <c r="U341" s="138" t="s">
        <v>244</v>
      </c>
      <c r="V341" s="138" t="s">
        <v>244</v>
      </c>
      <c r="W341" s="139" t="s">
        <v>244</v>
      </c>
      <c r="X341" s="139" t="s">
        <v>244</v>
      </c>
      <c r="Y341" s="54">
        <v>0</v>
      </c>
    </row>
    <row r="342" spans="2:25" s="49" customFormat="1" ht="15.75" x14ac:dyDescent="0.25">
      <c r="B342" s="133"/>
      <c r="C342" s="134"/>
      <c r="D342" s="113"/>
      <c r="E342" s="114"/>
      <c r="F342" s="173"/>
      <c r="G342" s="116" t="s">
        <v>244</v>
      </c>
      <c r="H342" s="116" t="s">
        <v>244</v>
      </c>
      <c r="I342" s="113"/>
      <c r="J342" s="117" t="s">
        <v>244</v>
      </c>
      <c r="K342" s="118"/>
      <c r="L342" s="119">
        <v>0</v>
      </c>
      <c r="M342" s="120" t="s">
        <v>244</v>
      </c>
      <c r="N342" s="121" t="s">
        <v>244</v>
      </c>
      <c r="O342" s="122" t="s">
        <v>244</v>
      </c>
      <c r="P342" s="123" t="s">
        <v>244</v>
      </c>
      <c r="Q342" s="124"/>
      <c r="R342" s="135"/>
      <c r="S342" s="136"/>
      <c r="T342" s="137"/>
      <c r="U342" s="138" t="s">
        <v>244</v>
      </c>
      <c r="V342" s="138" t="s">
        <v>244</v>
      </c>
      <c r="W342" s="139" t="s">
        <v>244</v>
      </c>
      <c r="X342" s="139" t="s">
        <v>244</v>
      </c>
      <c r="Y342" s="54">
        <v>0</v>
      </c>
    </row>
    <row r="343" spans="2:25" s="49" customFormat="1" ht="15.75" x14ac:dyDescent="0.25">
      <c r="B343" s="133"/>
      <c r="C343" s="134"/>
      <c r="D343" s="113"/>
      <c r="E343" s="114"/>
      <c r="F343" s="173"/>
      <c r="G343" s="116" t="s">
        <v>244</v>
      </c>
      <c r="H343" s="116" t="s">
        <v>244</v>
      </c>
      <c r="I343" s="113"/>
      <c r="J343" s="117" t="s">
        <v>244</v>
      </c>
      <c r="K343" s="118"/>
      <c r="L343" s="119">
        <v>0</v>
      </c>
      <c r="M343" s="120" t="s">
        <v>244</v>
      </c>
      <c r="N343" s="121" t="s">
        <v>244</v>
      </c>
      <c r="O343" s="122" t="s">
        <v>244</v>
      </c>
      <c r="P343" s="123" t="s">
        <v>244</v>
      </c>
      <c r="Q343" s="124"/>
      <c r="R343" s="135"/>
      <c r="S343" s="136"/>
      <c r="T343" s="137"/>
      <c r="U343" s="138" t="s">
        <v>244</v>
      </c>
      <c r="V343" s="138" t="s">
        <v>244</v>
      </c>
      <c r="W343" s="139" t="s">
        <v>244</v>
      </c>
      <c r="X343" s="139" t="s">
        <v>244</v>
      </c>
      <c r="Y343" s="54">
        <v>0</v>
      </c>
    </row>
    <row r="344" spans="2:25" s="49" customFormat="1" ht="15.75" x14ac:dyDescent="0.25">
      <c r="B344" s="133"/>
      <c r="C344" s="134"/>
      <c r="D344" s="113"/>
      <c r="E344" s="114"/>
      <c r="F344" s="173"/>
      <c r="G344" s="116" t="s">
        <v>244</v>
      </c>
      <c r="H344" s="116" t="s">
        <v>244</v>
      </c>
      <c r="I344" s="113"/>
      <c r="J344" s="117" t="s">
        <v>244</v>
      </c>
      <c r="K344" s="118"/>
      <c r="L344" s="119">
        <v>0</v>
      </c>
      <c r="M344" s="120" t="s">
        <v>244</v>
      </c>
      <c r="N344" s="121" t="s">
        <v>244</v>
      </c>
      <c r="O344" s="122" t="s">
        <v>244</v>
      </c>
      <c r="P344" s="123" t="s">
        <v>244</v>
      </c>
      <c r="Q344" s="124"/>
      <c r="R344" s="135"/>
      <c r="S344" s="136"/>
      <c r="T344" s="137"/>
      <c r="U344" s="138" t="s">
        <v>244</v>
      </c>
      <c r="V344" s="138" t="s">
        <v>244</v>
      </c>
      <c r="W344" s="139" t="s">
        <v>244</v>
      </c>
      <c r="X344" s="139" t="s">
        <v>244</v>
      </c>
      <c r="Y344" s="54">
        <v>0</v>
      </c>
    </row>
    <row r="345" spans="2:25" s="49" customFormat="1" ht="15.75" x14ac:dyDescent="0.25">
      <c r="B345" s="133"/>
      <c r="C345" s="134"/>
      <c r="D345" s="113"/>
      <c r="E345" s="114"/>
      <c r="F345" s="173"/>
      <c r="G345" s="116" t="s">
        <v>244</v>
      </c>
      <c r="H345" s="116" t="s">
        <v>244</v>
      </c>
      <c r="I345" s="113"/>
      <c r="J345" s="117" t="s">
        <v>244</v>
      </c>
      <c r="K345" s="118"/>
      <c r="L345" s="119">
        <v>0</v>
      </c>
      <c r="M345" s="120" t="s">
        <v>244</v>
      </c>
      <c r="N345" s="121" t="s">
        <v>244</v>
      </c>
      <c r="O345" s="122" t="s">
        <v>244</v>
      </c>
      <c r="P345" s="123" t="s">
        <v>244</v>
      </c>
      <c r="Q345" s="124"/>
      <c r="R345" s="135"/>
      <c r="S345" s="136"/>
      <c r="T345" s="137"/>
      <c r="U345" s="138" t="s">
        <v>244</v>
      </c>
      <c r="V345" s="138" t="s">
        <v>244</v>
      </c>
      <c r="W345" s="139" t="s">
        <v>244</v>
      </c>
      <c r="X345" s="139" t="s">
        <v>244</v>
      </c>
      <c r="Y345" s="54">
        <v>0</v>
      </c>
    </row>
    <row r="346" spans="2:25" s="49" customFormat="1" ht="15.75" x14ac:dyDescent="0.25">
      <c r="B346" s="133"/>
      <c r="C346" s="134"/>
      <c r="D346" s="113"/>
      <c r="E346" s="114"/>
      <c r="F346" s="173"/>
      <c r="G346" s="116" t="s">
        <v>244</v>
      </c>
      <c r="H346" s="116" t="s">
        <v>244</v>
      </c>
      <c r="I346" s="113"/>
      <c r="J346" s="117" t="s">
        <v>244</v>
      </c>
      <c r="K346" s="118"/>
      <c r="L346" s="119">
        <v>0</v>
      </c>
      <c r="M346" s="120" t="s">
        <v>244</v>
      </c>
      <c r="N346" s="121" t="s">
        <v>244</v>
      </c>
      <c r="O346" s="122" t="s">
        <v>244</v>
      </c>
      <c r="P346" s="123" t="s">
        <v>244</v>
      </c>
      <c r="Q346" s="124"/>
      <c r="R346" s="135"/>
      <c r="S346" s="136"/>
      <c r="T346" s="137"/>
      <c r="U346" s="138" t="s">
        <v>244</v>
      </c>
      <c r="V346" s="138" t="s">
        <v>244</v>
      </c>
      <c r="W346" s="139" t="s">
        <v>244</v>
      </c>
      <c r="X346" s="139" t="s">
        <v>244</v>
      </c>
      <c r="Y346" s="54">
        <v>0</v>
      </c>
    </row>
    <row r="347" spans="2:25" s="49" customFormat="1" ht="15.75" x14ac:dyDescent="0.25">
      <c r="B347" s="133"/>
      <c r="C347" s="134"/>
      <c r="D347" s="113"/>
      <c r="E347" s="114"/>
      <c r="F347" s="173"/>
      <c r="G347" s="116" t="s">
        <v>244</v>
      </c>
      <c r="H347" s="116" t="s">
        <v>244</v>
      </c>
      <c r="I347" s="113"/>
      <c r="J347" s="117" t="s">
        <v>244</v>
      </c>
      <c r="K347" s="118"/>
      <c r="L347" s="119">
        <v>0</v>
      </c>
      <c r="M347" s="120" t="s">
        <v>244</v>
      </c>
      <c r="N347" s="121" t="s">
        <v>244</v>
      </c>
      <c r="O347" s="122" t="s">
        <v>244</v>
      </c>
      <c r="P347" s="123" t="s">
        <v>244</v>
      </c>
      <c r="Q347" s="124"/>
      <c r="R347" s="135"/>
      <c r="S347" s="136"/>
      <c r="T347" s="137"/>
      <c r="U347" s="138" t="s">
        <v>244</v>
      </c>
      <c r="V347" s="138" t="s">
        <v>244</v>
      </c>
      <c r="W347" s="139" t="s">
        <v>244</v>
      </c>
      <c r="X347" s="139" t="s">
        <v>244</v>
      </c>
      <c r="Y347" s="54">
        <v>0</v>
      </c>
    </row>
    <row r="348" spans="2:25" s="49" customFormat="1" ht="15.75" x14ac:dyDescent="0.25">
      <c r="B348" s="133"/>
      <c r="C348" s="134"/>
      <c r="D348" s="113"/>
      <c r="E348" s="114"/>
      <c r="F348" s="173"/>
      <c r="G348" s="116" t="s">
        <v>244</v>
      </c>
      <c r="H348" s="116" t="s">
        <v>244</v>
      </c>
      <c r="I348" s="113"/>
      <c r="J348" s="117" t="s">
        <v>244</v>
      </c>
      <c r="K348" s="118"/>
      <c r="L348" s="119">
        <v>0</v>
      </c>
      <c r="M348" s="120" t="s">
        <v>244</v>
      </c>
      <c r="N348" s="121" t="s">
        <v>244</v>
      </c>
      <c r="O348" s="122" t="s">
        <v>244</v>
      </c>
      <c r="P348" s="123" t="s">
        <v>244</v>
      </c>
      <c r="Q348" s="124"/>
      <c r="R348" s="135"/>
      <c r="S348" s="136"/>
      <c r="T348" s="137"/>
      <c r="U348" s="138" t="s">
        <v>244</v>
      </c>
      <c r="V348" s="138" t="s">
        <v>244</v>
      </c>
      <c r="W348" s="139" t="s">
        <v>244</v>
      </c>
      <c r="X348" s="139" t="s">
        <v>244</v>
      </c>
      <c r="Y348" s="54">
        <v>0</v>
      </c>
    </row>
    <row r="349" spans="2:25" s="49" customFormat="1" ht="15.75" x14ac:dyDescent="0.25">
      <c r="B349" s="133"/>
      <c r="C349" s="134"/>
      <c r="D349" s="113"/>
      <c r="E349" s="114"/>
      <c r="F349" s="173"/>
      <c r="G349" s="116" t="s">
        <v>244</v>
      </c>
      <c r="H349" s="116" t="s">
        <v>244</v>
      </c>
      <c r="I349" s="113"/>
      <c r="J349" s="117" t="s">
        <v>244</v>
      </c>
      <c r="K349" s="118"/>
      <c r="L349" s="119">
        <v>0</v>
      </c>
      <c r="M349" s="120" t="s">
        <v>244</v>
      </c>
      <c r="N349" s="121" t="s">
        <v>244</v>
      </c>
      <c r="O349" s="122" t="s">
        <v>244</v>
      </c>
      <c r="P349" s="123" t="s">
        <v>244</v>
      </c>
      <c r="Q349" s="124"/>
      <c r="R349" s="135"/>
      <c r="S349" s="136"/>
      <c r="T349" s="137"/>
      <c r="U349" s="138" t="s">
        <v>244</v>
      </c>
      <c r="V349" s="138" t="s">
        <v>244</v>
      </c>
      <c r="W349" s="139" t="s">
        <v>244</v>
      </c>
      <c r="X349" s="139" t="s">
        <v>244</v>
      </c>
      <c r="Y349" s="54">
        <v>0</v>
      </c>
    </row>
    <row r="350" spans="2:25" s="49" customFormat="1" ht="15.75" x14ac:dyDescent="0.25">
      <c r="B350" s="133"/>
      <c r="C350" s="134"/>
      <c r="D350" s="113"/>
      <c r="E350" s="114"/>
      <c r="F350" s="173"/>
      <c r="G350" s="116" t="s">
        <v>244</v>
      </c>
      <c r="H350" s="116" t="s">
        <v>244</v>
      </c>
      <c r="I350" s="113"/>
      <c r="J350" s="117" t="s">
        <v>244</v>
      </c>
      <c r="K350" s="118"/>
      <c r="L350" s="119">
        <v>0</v>
      </c>
      <c r="M350" s="120" t="s">
        <v>244</v>
      </c>
      <c r="N350" s="121" t="s">
        <v>244</v>
      </c>
      <c r="O350" s="122" t="s">
        <v>244</v>
      </c>
      <c r="P350" s="123" t="s">
        <v>244</v>
      </c>
      <c r="Q350" s="124"/>
      <c r="R350" s="135"/>
      <c r="S350" s="136"/>
      <c r="T350" s="137"/>
      <c r="U350" s="138" t="s">
        <v>244</v>
      </c>
      <c r="V350" s="138" t="s">
        <v>244</v>
      </c>
      <c r="W350" s="139" t="s">
        <v>244</v>
      </c>
      <c r="X350" s="139" t="s">
        <v>244</v>
      </c>
      <c r="Y350" s="54">
        <v>0</v>
      </c>
    </row>
    <row r="351" spans="2:25" s="49" customFormat="1" ht="15.75" x14ac:dyDescent="0.25">
      <c r="B351" s="133"/>
      <c r="C351" s="134"/>
      <c r="D351" s="113"/>
      <c r="E351" s="114"/>
      <c r="F351" s="173"/>
      <c r="G351" s="116" t="s">
        <v>244</v>
      </c>
      <c r="H351" s="116" t="s">
        <v>244</v>
      </c>
      <c r="I351" s="113"/>
      <c r="J351" s="117" t="s">
        <v>244</v>
      </c>
      <c r="K351" s="118"/>
      <c r="L351" s="119">
        <v>0</v>
      </c>
      <c r="M351" s="120" t="s">
        <v>244</v>
      </c>
      <c r="N351" s="121" t="s">
        <v>244</v>
      </c>
      <c r="O351" s="122" t="s">
        <v>244</v>
      </c>
      <c r="P351" s="123" t="s">
        <v>244</v>
      </c>
      <c r="Q351" s="124"/>
      <c r="R351" s="135"/>
      <c r="S351" s="136"/>
      <c r="T351" s="137"/>
      <c r="U351" s="138" t="s">
        <v>244</v>
      </c>
      <c r="V351" s="138" t="s">
        <v>244</v>
      </c>
      <c r="W351" s="139" t="s">
        <v>244</v>
      </c>
      <c r="X351" s="139" t="s">
        <v>244</v>
      </c>
      <c r="Y351" s="54">
        <v>0</v>
      </c>
    </row>
    <row r="352" spans="2:25" s="49" customFormat="1" ht="15.75" x14ac:dyDescent="0.25">
      <c r="B352" s="133"/>
      <c r="C352" s="134"/>
      <c r="D352" s="113"/>
      <c r="E352" s="114"/>
      <c r="F352" s="173"/>
      <c r="G352" s="116" t="s">
        <v>244</v>
      </c>
      <c r="H352" s="116" t="s">
        <v>244</v>
      </c>
      <c r="I352" s="113"/>
      <c r="J352" s="117" t="s">
        <v>244</v>
      </c>
      <c r="K352" s="118"/>
      <c r="L352" s="119">
        <v>0</v>
      </c>
      <c r="M352" s="120" t="s">
        <v>244</v>
      </c>
      <c r="N352" s="121" t="s">
        <v>244</v>
      </c>
      <c r="O352" s="122" t="s">
        <v>244</v>
      </c>
      <c r="P352" s="123" t="s">
        <v>244</v>
      </c>
      <c r="Q352" s="124"/>
      <c r="R352" s="135"/>
      <c r="S352" s="136"/>
      <c r="T352" s="137"/>
      <c r="U352" s="138" t="s">
        <v>244</v>
      </c>
      <c r="V352" s="138" t="s">
        <v>244</v>
      </c>
      <c r="W352" s="139" t="s">
        <v>244</v>
      </c>
      <c r="X352" s="139" t="s">
        <v>244</v>
      </c>
      <c r="Y352" s="54">
        <v>0</v>
      </c>
    </row>
    <row r="353" spans="2:25" s="49" customFormat="1" ht="15.75" x14ac:dyDescent="0.25">
      <c r="B353" s="133"/>
      <c r="C353" s="134"/>
      <c r="D353" s="113"/>
      <c r="E353" s="114"/>
      <c r="F353" s="173"/>
      <c r="G353" s="116" t="s">
        <v>244</v>
      </c>
      <c r="H353" s="116" t="s">
        <v>244</v>
      </c>
      <c r="I353" s="113"/>
      <c r="J353" s="117" t="s">
        <v>244</v>
      </c>
      <c r="K353" s="118"/>
      <c r="L353" s="119">
        <v>0</v>
      </c>
      <c r="M353" s="120" t="s">
        <v>244</v>
      </c>
      <c r="N353" s="121" t="s">
        <v>244</v>
      </c>
      <c r="O353" s="122" t="s">
        <v>244</v>
      </c>
      <c r="P353" s="123" t="s">
        <v>244</v>
      </c>
      <c r="Q353" s="124"/>
      <c r="R353" s="135"/>
      <c r="S353" s="136"/>
      <c r="T353" s="137"/>
      <c r="U353" s="138" t="s">
        <v>244</v>
      </c>
      <c r="V353" s="138" t="s">
        <v>244</v>
      </c>
      <c r="W353" s="139" t="s">
        <v>244</v>
      </c>
      <c r="X353" s="139" t="s">
        <v>244</v>
      </c>
      <c r="Y353" s="54">
        <v>0</v>
      </c>
    </row>
    <row r="354" spans="2:25" s="49" customFormat="1" ht="15.75" x14ac:dyDescent="0.25">
      <c r="B354" s="133"/>
      <c r="C354" s="134"/>
      <c r="D354" s="113"/>
      <c r="E354" s="114"/>
      <c r="F354" s="173"/>
      <c r="G354" s="116" t="s">
        <v>244</v>
      </c>
      <c r="H354" s="116" t="s">
        <v>244</v>
      </c>
      <c r="I354" s="113"/>
      <c r="J354" s="117" t="s">
        <v>244</v>
      </c>
      <c r="K354" s="118"/>
      <c r="L354" s="119">
        <v>0</v>
      </c>
      <c r="M354" s="120" t="s">
        <v>244</v>
      </c>
      <c r="N354" s="121" t="s">
        <v>244</v>
      </c>
      <c r="O354" s="122" t="s">
        <v>244</v>
      </c>
      <c r="P354" s="123" t="s">
        <v>244</v>
      </c>
      <c r="Q354" s="124"/>
      <c r="R354" s="135"/>
      <c r="S354" s="136"/>
      <c r="T354" s="137"/>
      <c r="U354" s="138" t="s">
        <v>244</v>
      </c>
      <c r="V354" s="138" t="s">
        <v>244</v>
      </c>
      <c r="W354" s="139" t="s">
        <v>244</v>
      </c>
      <c r="X354" s="139" t="s">
        <v>244</v>
      </c>
      <c r="Y354" s="54">
        <v>0</v>
      </c>
    </row>
    <row r="355" spans="2:25" s="49" customFormat="1" ht="15.75" x14ac:dyDescent="0.25">
      <c r="B355" s="133"/>
      <c r="C355" s="134"/>
      <c r="D355" s="113"/>
      <c r="E355" s="114"/>
      <c r="F355" s="173"/>
      <c r="G355" s="116" t="s">
        <v>244</v>
      </c>
      <c r="H355" s="116" t="s">
        <v>244</v>
      </c>
      <c r="I355" s="113"/>
      <c r="J355" s="117" t="s">
        <v>244</v>
      </c>
      <c r="K355" s="118"/>
      <c r="L355" s="119">
        <v>0</v>
      </c>
      <c r="M355" s="120" t="s">
        <v>244</v>
      </c>
      <c r="N355" s="121" t="s">
        <v>244</v>
      </c>
      <c r="O355" s="122" t="s">
        <v>244</v>
      </c>
      <c r="P355" s="123" t="s">
        <v>244</v>
      </c>
      <c r="Q355" s="124"/>
      <c r="R355" s="135"/>
      <c r="S355" s="136"/>
      <c r="T355" s="137"/>
      <c r="U355" s="138" t="s">
        <v>244</v>
      </c>
      <c r="V355" s="138" t="s">
        <v>244</v>
      </c>
      <c r="W355" s="139" t="s">
        <v>244</v>
      </c>
      <c r="X355" s="139" t="s">
        <v>244</v>
      </c>
      <c r="Y355" s="54">
        <v>0</v>
      </c>
    </row>
    <row r="356" spans="2:25" s="49" customFormat="1" ht="15.75" x14ac:dyDescent="0.25">
      <c r="B356" s="133"/>
      <c r="C356" s="134"/>
      <c r="D356" s="113"/>
      <c r="E356" s="114"/>
      <c r="F356" s="173"/>
      <c r="G356" s="116" t="s">
        <v>244</v>
      </c>
      <c r="H356" s="116" t="s">
        <v>244</v>
      </c>
      <c r="I356" s="113"/>
      <c r="J356" s="117" t="s">
        <v>244</v>
      </c>
      <c r="K356" s="118"/>
      <c r="L356" s="119">
        <v>0</v>
      </c>
      <c r="M356" s="120" t="s">
        <v>244</v>
      </c>
      <c r="N356" s="121" t="s">
        <v>244</v>
      </c>
      <c r="O356" s="122" t="s">
        <v>244</v>
      </c>
      <c r="P356" s="123" t="s">
        <v>244</v>
      </c>
      <c r="Q356" s="124"/>
      <c r="R356" s="135"/>
      <c r="S356" s="136"/>
      <c r="T356" s="137"/>
      <c r="U356" s="138" t="s">
        <v>244</v>
      </c>
      <c r="V356" s="138" t="s">
        <v>244</v>
      </c>
      <c r="W356" s="139" t="s">
        <v>244</v>
      </c>
      <c r="X356" s="139" t="s">
        <v>244</v>
      </c>
      <c r="Y356" s="54">
        <v>0</v>
      </c>
    </row>
    <row r="357" spans="2:25" s="49" customFormat="1" ht="15.75" x14ac:dyDescent="0.25">
      <c r="B357" s="133"/>
      <c r="C357" s="134"/>
      <c r="D357" s="113"/>
      <c r="E357" s="114"/>
      <c r="F357" s="173"/>
      <c r="G357" s="116" t="s">
        <v>244</v>
      </c>
      <c r="H357" s="116" t="s">
        <v>244</v>
      </c>
      <c r="I357" s="113"/>
      <c r="J357" s="117" t="s">
        <v>244</v>
      </c>
      <c r="K357" s="118"/>
      <c r="L357" s="119">
        <v>0</v>
      </c>
      <c r="M357" s="120" t="s">
        <v>244</v>
      </c>
      <c r="N357" s="121" t="s">
        <v>244</v>
      </c>
      <c r="O357" s="122" t="s">
        <v>244</v>
      </c>
      <c r="P357" s="123" t="s">
        <v>244</v>
      </c>
      <c r="Q357" s="124"/>
      <c r="R357" s="135"/>
      <c r="S357" s="136"/>
      <c r="T357" s="137"/>
      <c r="U357" s="138" t="s">
        <v>244</v>
      </c>
      <c r="V357" s="138" t="s">
        <v>244</v>
      </c>
      <c r="W357" s="139" t="s">
        <v>244</v>
      </c>
      <c r="X357" s="139" t="s">
        <v>244</v>
      </c>
      <c r="Y357" s="54">
        <v>0</v>
      </c>
    </row>
    <row r="358" spans="2:25" s="49" customFormat="1" ht="15.75" x14ac:dyDescent="0.25">
      <c r="B358" s="133"/>
      <c r="C358" s="134"/>
      <c r="D358" s="113"/>
      <c r="E358" s="114"/>
      <c r="F358" s="173"/>
      <c r="G358" s="116" t="s">
        <v>244</v>
      </c>
      <c r="H358" s="116" t="s">
        <v>244</v>
      </c>
      <c r="I358" s="113"/>
      <c r="J358" s="117" t="s">
        <v>244</v>
      </c>
      <c r="K358" s="118"/>
      <c r="L358" s="119">
        <v>0</v>
      </c>
      <c r="M358" s="120" t="s">
        <v>244</v>
      </c>
      <c r="N358" s="121" t="s">
        <v>244</v>
      </c>
      <c r="O358" s="122" t="s">
        <v>244</v>
      </c>
      <c r="P358" s="123" t="s">
        <v>244</v>
      </c>
      <c r="Q358" s="124"/>
      <c r="R358" s="135"/>
      <c r="S358" s="136"/>
      <c r="T358" s="137"/>
      <c r="U358" s="138" t="s">
        <v>244</v>
      </c>
      <c r="V358" s="138" t="s">
        <v>244</v>
      </c>
      <c r="W358" s="139" t="s">
        <v>244</v>
      </c>
      <c r="X358" s="139" t="s">
        <v>244</v>
      </c>
      <c r="Y358" s="54">
        <v>0</v>
      </c>
    </row>
    <row r="359" spans="2:25" s="49" customFormat="1" ht="15.75" x14ac:dyDescent="0.25">
      <c r="B359" s="133"/>
      <c r="C359" s="134"/>
      <c r="D359" s="113"/>
      <c r="E359" s="114"/>
      <c r="F359" s="173"/>
      <c r="G359" s="116" t="s">
        <v>244</v>
      </c>
      <c r="H359" s="116" t="s">
        <v>244</v>
      </c>
      <c r="I359" s="113"/>
      <c r="J359" s="117" t="s">
        <v>244</v>
      </c>
      <c r="K359" s="118"/>
      <c r="L359" s="119">
        <v>0</v>
      </c>
      <c r="M359" s="120" t="s">
        <v>244</v>
      </c>
      <c r="N359" s="121" t="s">
        <v>244</v>
      </c>
      <c r="O359" s="122" t="s">
        <v>244</v>
      </c>
      <c r="P359" s="123" t="s">
        <v>244</v>
      </c>
      <c r="Q359" s="124"/>
      <c r="R359" s="135"/>
      <c r="S359" s="136"/>
      <c r="T359" s="137"/>
      <c r="U359" s="138" t="s">
        <v>244</v>
      </c>
      <c r="V359" s="138" t="s">
        <v>244</v>
      </c>
      <c r="W359" s="139" t="s">
        <v>244</v>
      </c>
      <c r="X359" s="139" t="s">
        <v>244</v>
      </c>
      <c r="Y359" s="54">
        <v>0</v>
      </c>
    </row>
    <row r="360" spans="2:25" s="49" customFormat="1" ht="15.75" x14ac:dyDescent="0.25">
      <c r="B360" s="133"/>
      <c r="C360" s="134"/>
      <c r="D360" s="113"/>
      <c r="E360" s="114"/>
      <c r="F360" s="173"/>
      <c r="G360" s="116" t="s">
        <v>244</v>
      </c>
      <c r="H360" s="116" t="s">
        <v>244</v>
      </c>
      <c r="I360" s="113"/>
      <c r="J360" s="117" t="s">
        <v>244</v>
      </c>
      <c r="K360" s="118"/>
      <c r="L360" s="119">
        <v>0</v>
      </c>
      <c r="M360" s="120" t="s">
        <v>244</v>
      </c>
      <c r="N360" s="121" t="s">
        <v>244</v>
      </c>
      <c r="O360" s="122" t="s">
        <v>244</v>
      </c>
      <c r="P360" s="123" t="s">
        <v>244</v>
      </c>
      <c r="Q360" s="124"/>
      <c r="R360" s="135"/>
      <c r="S360" s="136"/>
      <c r="T360" s="137"/>
      <c r="U360" s="138" t="s">
        <v>244</v>
      </c>
      <c r="V360" s="138" t="s">
        <v>244</v>
      </c>
      <c r="W360" s="139" t="s">
        <v>244</v>
      </c>
      <c r="X360" s="139" t="s">
        <v>244</v>
      </c>
      <c r="Y360" s="54">
        <v>0</v>
      </c>
    </row>
    <row r="361" spans="2:25" s="49" customFormat="1" ht="15.75" x14ac:dyDescent="0.25">
      <c r="B361" s="133"/>
      <c r="C361" s="134"/>
      <c r="D361" s="113"/>
      <c r="E361" s="114"/>
      <c r="F361" s="173"/>
      <c r="G361" s="116" t="s">
        <v>244</v>
      </c>
      <c r="H361" s="116" t="s">
        <v>244</v>
      </c>
      <c r="I361" s="113"/>
      <c r="J361" s="117" t="s">
        <v>244</v>
      </c>
      <c r="K361" s="118"/>
      <c r="L361" s="119">
        <v>0</v>
      </c>
      <c r="M361" s="120" t="s">
        <v>244</v>
      </c>
      <c r="N361" s="121" t="s">
        <v>244</v>
      </c>
      <c r="O361" s="122" t="s">
        <v>244</v>
      </c>
      <c r="P361" s="123" t="s">
        <v>244</v>
      </c>
      <c r="Q361" s="124"/>
      <c r="R361" s="135"/>
      <c r="S361" s="136"/>
      <c r="T361" s="137"/>
      <c r="U361" s="138" t="s">
        <v>244</v>
      </c>
      <c r="V361" s="138" t="s">
        <v>244</v>
      </c>
      <c r="W361" s="139" t="s">
        <v>244</v>
      </c>
      <c r="X361" s="139" t="s">
        <v>244</v>
      </c>
      <c r="Y361" s="54">
        <v>0</v>
      </c>
    </row>
    <row r="362" spans="2:25" s="49" customFormat="1" ht="15.75" x14ac:dyDescent="0.25">
      <c r="B362" s="133"/>
      <c r="C362" s="134"/>
      <c r="D362" s="113"/>
      <c r="E362" s="114"/>
      <c r="F362" s="173"/>
      <c r="G362" s="116" t="s">
        <v>244</v>
      </c>
      <c r="H362" s="116" t="s">
        <v>244</v>
      </c>
      <c r="I362" s="113"/>
      <c r="J362" s="117" t="s">
        <v>244</v>
      </c>
      <c r="K362" s="118"/>
      <c r="L362" s="119">
        <v>0</v>
      </c>
      <c r="M362" s="120" t="s">
        <v>244</v>
      </c>
      <c r="N362" s="121" t="s">
        <v>244</v>
      </c>
      <c r="O362" s="122" t="s">
        <v>244</v>
      </c>
      <c r="P362" s="123" t="s">
        <v>244</v>
      </c>
      <c r="Q362" s="124"/>
      <c r="R362" s="135"/>
      <c r="S362" s="136"/>
      <c r="T362" s="137"/>
      <c r="U362" s="138" t="s">
        <v>244</v>
      </c>
      <c r="V362" s="138" t="s">
        <v>244</v>
      </c>
      <c r="W362" s="139" t="s">
        <v>244</v>
      </c>
      <c r="X362" s="139" t="s">
        <v>244</v>
      </c>
      <c r="Y362" s="54">
        <v>0</v>
      </c>
    </row>
    <row r="363" spans="2:25" s="49" customFormat="1" ht="15.75" x14ac:dyDescent="0.25">
      <c r="B363" s="133"/>
      <c r="C363" s="134"/>
      <c r="D363" s="113"/>
      <c r="E363" s="114"/>
      <c r="F363" s="173"/>
      <c r="G363" s="116" t="s">
        <v>244</v>
      </c>
      <c r="H363" s="116" t="s">
        <v>244</v>
      </c>
      <c r="I363" s="113"/>
      <c r="J363" s="117" t="s">
        <v>244</v>
      </c>
      <c r="K363" s="118"/>
      <c r="L363" s="119">
        <v>0</v>
      </c>
      <c r="M363" s="120" t="s">
        <v>244</v>
      </c>
      <c r="N363" s="121" t="s">
        <v>244</v>
      </c>
      <c r="O363" s="122" t="s">
        <v>244</v>
      </c>
      <c r="P363" s="123" t="s">
        <v>244</v>
      </c>
      <c r="Q363" s="124"/>
      <c r="R363" s="135"/>
      <c r="S363" s="136"/>
      <c r="T363" s="137"/>
      <c r="U363" s="138" t="s">
        <v>244</v>
      </c>
      <c r="V363" s="138" t="s">
        <v>244</v>
      </c>
      <c r="W363" s="139" t="s">
        <v>244</v>
      </c>
      <c r="X363" s="139" t="s">
        <v>244</v>
      </c>
      <c r="Y363" s="54">
        <v>0</v>
      </c>
    </row>
    <row r="364" spans="2:25" s="49" customFormat="1" ht="15.75" x14ac:dyDescent="0.25">
      <c r="B364" s="133"/>
      <c r="C364" s="134"/>
      <c r="D364" s="113"/>
      <c r="E364" s="114"/>
      <c r="F364" s="173"/>
      <c r="G364" s="116" t="s">
        <v>244</v>
      </c>
      <c r="H364" s="116" t="s">
        <v>244</v>
      </c>
      <c r="I364" s="113"/>
      <c r="J364" s="117" t="s">
        <v>244</v>
      </c>
      <c r="K364" s="118"/>
      <c r="L364" s="119">
        <v>0</v>
      </c>
      <c r="M364" s="120" t="s">
        <v>244</v>
      </c>
      <c r="N364" s="121" t="s">
        <v>244</v>
      </c>
      <c r="O364" s="122" t="s">
        <v>244</v>
      </c>
      <c r="P364" s="123" t="s">
        <v>244</v>
      </c>
      <c r="Q364" s="124"/>
      <c r="R364" s="135"/>
      <c r="S364" s="136"/>
      <c r="T364" s="137"/>
      <c r="U364" s="138" t="s">
        <v>244</v>
      </c>
      <c r="V364" s="138" t="s">
        <v>244</v>
      </c>
      <c r="W364" s="139" t="s">
        <v>244</v>
      </c>
      <c r="X364" s="139" t="s">
        <v>244</v>
      </c>
      <c r="Y364" s="54">
        <v>0</v>
      </c>
    </row>
    <row r="365" spans="2:25" s="49" customFormat="1" ht="15.75" x14ac:dyDescent="0.25">
      <c r="B365" s="133"/>
      <c r="C365" s="134"/>
      <c r="D365" s="113"/>
      <c r="E365" s="114"/>
      <c r="F365" s="173"/>
      <c r="G365" s="116" t="s">
        <v>244</v>
      </c>
      <c r="H365" s="116" t="s">
        <v>244</v>
      </c>
      <c r="I365" s="113"/>
      <c r="J365" s="117" t="s">
        <v>244</v>
      </c>
      <c r="K365" s="118"/>
      <c r="L365" s="119">
        <v>0</v>
      </c>
      <c r="M365" s="120" t="s">
        <v>244</v>
      </c>
      <c r="N365" s="121" t="s">
        <v>244</v>
      </c>
      <c r="O365" s="122" t="s">
        <v>244</v>
      </c>
      <c r="P365" s="123" t="s">
        <v>244</v>
      </c>
      <c r="Q365" s="124"/>
      <c r="R365" s="135"/>
      <c r="S365" s="136"/>
      <c r="T365" s="137"/>
      <c r="U365" s="138" t="s">
        <v>244</v>
      </c>
      <c r="V365" s="138" t="s">
        <v>244</v>
      </c>
      <c r="W365" s="139" t="s">
        <v>244</v>
      </c>
      <c r="X365" s="139" t="s">
        <v>244</v>
      </c>
      <c r="Y365" s="54">
        <v>0</v>
      </c>
    </row>
    <row r="366" spans="2:25" s="49" customFormat="1" ht="15.75" x14ac:dyDescent="0.25">
      <c r="B366" s="133"/>
      <c r="C366" s="134"/>
      <c r="D366" s="113"/>
      <c r="E366" s="114"/>
      <c r="F366" s="173"/>
      <c r="G366" s="116" t="s">
        <v>244</v>
      </c>
      <c r="H366" s="116" t="s">
        <v>244</v>
      </c>
      <c r="I366" s="113"/>
      <c r="J366" s="117" t="s">
        <v>244</v>
      </c>
      <c r="K366" s="118"/>
      <c r="L366" s="119">
        <v>0</v>
      </c>
      <c r="M366" s="120" t="s">
        <v>244</v>
      </c>
      <c r="N366" s="121" t="s">
        <v>244</v>
      </c>
      <c r="O366" s="122" t="s">
        <v>244</v>
      </c>
      <c r="P366" s="123" t="s">
        <v>244</v>
      </c>
      <c r="Q366" s="124"/>
      <c r="R366" s="135"/>
      <c r="S366" s="136"/>
      <c r="T366" s="137"/>
      <c r="U366" s="138" t="s">
        <v>244</v>
      </c>
      <c r="V366" s="138" t="s">
        <v>244</v>
      </c>
      <c r="W366" s="139" t="s">
        <v>244</v>
      </c>
      <c r="X366" s="139" t="s">
        <v>244</v>
      </c>
      <c r="Y366" s="54">
        <v>0</v>
      </c>
    </row>
    <row r="367" spans="2:25" s="49" customFormat="1" ht="15.75" x14ac:dyDescent="0.25">
      <c r="B367" s="133"/>
      <c r="C367" s="134"/>
      <c r="D367" s="113"/>
      <c r="E367" s="114"/>
      <c r="F367" s="173"/>
      <c r="G367" s="116" t="s">
        <v>244</v>
      </c>
      <c r="H367" s="116" t="s">
        <v>244</v>
      </c>
      <c r="I367" s="113"/>
      <c r="J367" s="117" t="s">
        <v>244</v>
      </c>
      <c r="K367" s="118"/>
      <c r="L367" s="119">
        <v>0</v>
      </c>
      <c r="M367" s="120" t="s">
        <v>244</v>
      </c>
      <c r="N367" s="121" t="s">
        <v>244</v>
      </c>
      <c r="O367" s="122" t="s">
        <v>244</v>
      </c>
      <c r="P367" s="123" t="s">
        <v>244</v>
      </c>
      <c r="Q367" s="124"/>
      <c r="R367" s="135"/>
      <c r="S367" s="136"/>
      <c r="T367" s="137"/>
      <c r="U367" s="138" t="s">
        <v>244</v>
      </c>
      <c r="V367" s="138" t="s">
        <v>244</v>
      </c>
      <c r="W367" s="139" t="s">
        <v>244</v>
      </c>
      <c r="X367" s="139" t="s">
        <v>244</v>
      </c>
      <c r="Y367" s="54">
        <v>0</v>
      </c>
    </row>
    <row r="368" spans="2:25" s="49" customFormat="1" ht="15.75" x14ac:dyDescent="0.25">
      <c r="B368" s="133"/>
      <c r="C368" s="134"/>
      <c r="D368" s="113"/>
      <c r="E368" s="114"/>
      <c r="F368" s="173"/>
      <c r="G368" s="116" t="s">
        <v>244</v>
      </c>
      <c r="H368" s="116" t="s">
        <v>244</v>
      </c>
      <c r="I368" s="113"/>
      <c r="J368" s="117" t="s">
        <v>244</v>
      </c>
      <c r="K368" s="118"/>
      <c r="L368" s="119">
        <v>0</v>
      </c>
      <c r="M368" s="120" t="s">
        <v>244</v>
      </c>
      <c r="N368" s="121" t="s">
        <v>244</v>
      </c>
      <c r="O368" s="122" t="s">
        <v>244</v>
      </c>
      <c r="P368" s="123" t="s">
        <v>244</v>
      </c>
      <c r="Q368" s="124"/>
      <c r="R368" s="135"/>
      <c r="S368" s="136"/>
      <c r="T368" s="137"/>
      <c r="U368" s="138" t="s">
        <v>244</v>
      </c>
      <c r="V368" s="138" t="s">
        <v>244</v>
      </c>
      <c r="W368" s="139" t="s">
        <v>244</v>
      </c>
      <c r="X368" s="139" t="s">
        <v>244</v>
      </c>
      <c r="Y368" s="54">
        <v>0</v>
      </c>
    </row>
    <row r="369" spans="2:25" s="49" customFormat="1" ht="15.75" x14ac:dyDescent="0.25">
      <c r="B369" s="133"/>
      <c r="C369" s="134"/>
      <c r="D369" s="113"/>
      <c r="E369" s="114"/>
      <c r="F369" s="173"/>
      <c r="G369" s="116" t="s">
        <v>244</v>
      </c>
      <c r="H369" s="116" t="s">
        <v>244</v>
      </c>
      <c r="I369" s="113"/>
      <c r="J369" s="117" t="s">
        <v>244</v>
      </c>
      <c r="K369" s="118"/>
      <c r="L369" s="119">
        <v>0</v>
      </c>
      <c r="M369" s="120" t="s">
        <v>244</v>
      </c>
      <c r="N369" s="121" t="s">
        <v>244</v>
      </c>
      <c r="O369" s="122" t="s">
        <v>244</v>
      </c>
      <c r="P369" s="123" t="s">
        <v>244</v>
      </c>
      <c r="Q369" s="124"/>
      <c r="R369" s="135"/>
      <c r="S369" s="136"/>
      <c r="T369" s="137"/>
      <c r="U369" s="138" t="s">
        <v>244</v>
      </c>
      <c r="V369" s="138" t="s">
        <v>244</v>
      </c>
      <c r="W369" s="139" t="s">
        <v>244</v>
      </c>
      <c r="X369" s="139" t="s">
        <v>244</v>
      </c>
      <c r="Y369" s="54">
        <v>0</v>
      </c>
    </row>
    <row r="370" spans="2:25" s="49" customFormat="1" ht="15.75" x14ac:dyDescent="0.25">
      <c r="B370" s="133"/>
      <c r="C370" s="134"/>
      <c r="D370" s="113"/>
      <c r="E370" s="114"/>
      <c r="F370" s="173"/>
      <c r="G370" s="116" t="s">
        <v>244</v>
      </c>
      <c r="H370" s="116" t="s">
        <v>244</v>
      </c>
      <c r="I370" s="113"/>
      <c r="J370" s="117" t="s">
        <v>244</v>
      </c>
      <c r="K370" s="118"/>
      <c r="L370" s="119">
        <v>0</v>
      </c>
      <c r="M370" s="120" t="s">
        <v>244</v>
      </c>
      <c r="N370" s="121" t="s">
        <v>244</v>
      </c>
      <c r="O370" s="122" t="s">
        <v>244</v>
      </c>
      <c r="P370" s="123" t="s">
        <v>244</v>
      </c>
      <c r="Q370" s="124"/>
      <c r="R370" s="135"/>
      <c r="S370" s="136"/>
      <c r="T370" s="137"/>
      <c r="U370" s="138" t="s">
        <v>244</v>
      </c>
      <c r="V370" s="138" t="s">
        <v>244</v>
      </c>
      <c r="W370" s="139" t="s">
        <v>244</v>
      </c>
      <c r="X370" s="139" t="s">
        <v>244</v>
      </c>
      <c r="Y370" s="54">
        <v>0</v>
      </c>
    </row>
    <row r="371" spans="2:25" s="49" customFormat="1" ht="15.75" x14ac:dyDescent="0.25">
      <c r="B371" s="133"/>
      <c r="C371" s="134"/>
      <c r="D371" s="113"/>
      <c r="E371" s="114"/>
      <c r="F371" s="173"/>
      <c r="G371" s="116" t="s">
        <v>244</v>
      </c>
      <c r="H371" s="116" t="s">
        <v>244</v>
      </c>
      <c r="I371" s="113"/>
      <c r="J371" s="117" t="s">
        <v>244</v>
      </c>
      <c r="K371" s="118"/>
      <c r="L371" s="119">
        <v>0</v>
      </c>
      <c r="M371" s="120" t="s">
        <v>244</v>
      </c>
      <c r="N371" s="121" t="s">
        <v>244</v>
      </c>
      <c r="O371" s="122" t="s">
        <v>244</v>
      </c>
      <c r="P371" s="123" t="s">
        <v>244</v>
      </c>
      <c r="Q371" s="124"/>
      <c r="R371" s="135"/>
      <c r="S371" s="136"/>
      <c r="T371" s="137"/>
      <c r="U371" s="138" t="s">
        <v>244</v>
      </c>
      <c r="V371" s="138" t="s">
        <v>244</v>
      </c>
      <c r="W371" s="139" t="s">
        <v>244</v>
      </c>
      <c r="X371" s="139" t="s">
        <v>244</v>
      </c>
      <c r="Y371" s="54">
        <v>0</v>
      </c>
    </row>
    <row r="372" spans="2:25" s="49" customFormat="1" ht="15.75" x14ac:dyDescent="0.25">
      <c r="B372" s="133"/>
      <c r="C372" s="134"/>
      <c r="D372" s="113"/>
      <c r="E372" s="114"/>
      <c r="F372" s="173"/>
      <c r="G372" s="116" t="s">
        <v>244</v>
      </c>
      <c r="H372" s="116" t="s">
        <v>244</v>
      </c>
      <c r="I372" s="113"/>
      <c r="J372" s="117" t="s">
        <v>244</v>
      </c>
      <c r="K372" s="118"/>
      <c r="L372" s="119">
        <v>0</v>
      </c>
      <c r="M372" s="120" t="s">
        <v>244</v>
      </c>
      <c r="N372" s="121" t="s">
        <v>244</v>
      </c>
      <c r="O372" s="122" t="s">
        <v>244</v>
      </c>
      <c r="P372" s="123" t="s">
        <v>244</v>
      </c>
      <c r="Q372" s="124"/>
      <c r="R372" s="135"/>
      <c r="S372" s="136"/>
      <c r="T372" s="137"/>
      <c r="U372" s="138" t="s">
        <v>244</v>
      </c>
      <c r="V372" s="138" t="s">
        <v>244</v>
      </c>
      <c r="W372" s="139" t="s">
        <v>244</v>
      </c>
      <c r="X372" s="139" t="s">
        <v>244</v>
      </c>
      <c r="Y372" s="54">
        <v>0</v>
      </c>
    </row>
    <row r="373" spans="2:25" s="49" customFormat="1" ht="15.75" x14ac:dyDescent="0.25">
      <c r="B373" s="133"/>
      <c r="C373" s="134"/>
      <c r="D373" s="113"/>
      <c r="E373" s="114"/>
      <c r="F373" s="173"/>
      <c r="G373" s="116" t="s">
        <v>244</v>
      </c>
      <c r="H373" s="116" t="s">
        <v>244</v>
      </c>
      <c r="I373" s="113"/>
      <c r="J373" s="117" t="s">
        <v>244</v>
      </c>
      <c r="K373" s="118"/>
      <c r="L373" s="119">
        <v>0</v>
      </c>
      <c r="M373" s="120" t="s">
        <v>244</v>
      </c>
      <c r="N373" s="121" t="s">
        <v>244</v>
      </c>
      <c r="O373" s="122" t="s">
        <v>244</v>
      </c>
      <c r="P373" s="123" t="s">
        <v>244</v>
      </c>
      <c r="Q373" s="124"/>
      <c r="R373" s="135"/>
      <c r="S373" s="136"/>
      <c r="T373" s="137"/>
      <c r="U373" s="138" t="s">
        <v>244</v>
      </c>
      <c r="V373" s="138" t="s">
        <v>244</v>
      </c>
      <c r="W373" s="139" t="s">
        <v>244</v>
      </c>
      <c r="X373" s="139" t="s">
        <v>244</v>
      </c>
      <c r="Y373" s="54">
        <v>0</v>
      </c>
    </row>
    <row r="374" spans="2:25" s="49" customFormat="1" ht="15.75" x14ac:dyDescent="0.25">
      <c r="B374" s="133"/>
      <c r="C374" s="134"/>
      <c r="D374" s="113"/>
      <c r="E374" s="114"/>
      <c r="F374" s="173"/>
      <c r="G374" s="116" t="s">
        <v>244</v>
      </c>
      <c r="H374" s="116" t="s">
        <v>244</v>
      </c>
      <c r="I374" s="113"/>
      <c r="J374" s="117" t="s">
        <v>244</v>
      </c>
      <c r="K374" s="118"/>
      <c r="L374" s="119">
        <v>0</v>
      </c>
      <c r="M374" s="120" t="s">
        <v>244</v>
      </c>
      <c r="N374" s="121" t="s">
        <v>244</v>
      </c>
      <c r="O374" s="122" t="s">
        <v>244</v>
      </c>
      <c r="P374" s="123" t="s">
        <v>244</v>
      </c>
      <c r="Q374" s="124"/>
      <c r="R374" s="135"/>
      <c r="S374" s="136"/>
      <c r="T374" s="137"/>
      <c r="U374" s="138" t="s">
        <v>244</v>
      </c>
      <c r="V374" s="138" t="s">
        <v>244</v>
      </c>
      <c r="W374" s="139" t="s">
        <v>244</v>
      </c>
      <c r="X374" s="139" t="s">
        <v>244</v>
      </c>
      <c r="Y374" s="54">
        <v>0</v>
      </c>
    </row>
    <row r="375" spans="2:25" s="49" customFormat="1" ht="15.75" x14ac:dyDescent="0.25">
      <c r="B375" s="133"/>
      <c r="C375" s="134"/>
      <c r="D375" s="113"/>
      <c r="E375" s="114"/>
      <c r="F375" s="173"/>
      <c r="G375" s="116" t="s">
        <v>244</v>
      </c>
      <c r="H375" s="116" t="s">
        <v>244</v>
      </c>
      <c r="I375" s="113"/>
      <c r="J375" s="117" t="s">
        <v>244</v>
      </c>
      <c r="K375" s="118"/>
      <c r="L375" s="119">
        <v>0</v>
      </c>
      <c r="M375" s="120" t="s">
        <v>244</v>
      </c>
      <c r="N375" s="121" t="s">
        <v>244</v>
      </c>
      <c r="O375" s="122" t="s">
        <v>244</v>
      </c>
      <c r="P375" s="123" t="s">
        <v>244</v>
      </c>
      <c r="Q375" s="124"/>
      <c r="R375" s="135"/>
      <c r="S375" s="136"/>
      <c r="T375" s="137"/>
      <c r="U375" s="138" t="s">
        <v>244</v>
      </c>
      <c r="V375" s="138" t="s">
        <v>244</v>
      </c>
      <c r="W375" s="139" t="s">
        <v>244</v>
      </c>
      <c r="X375" s="139" t="s">
        <v>244</v>
      </c>
      <c r="Y375" s="54">
        <v>0</v>
      </c>
    </row>
    <row r="376" spans="2:25" s="49" customFormat="1" ht="15.75" x14ac:dyDescent="0.25">
      <c r="B376" s="133"/>
      <c r="C376" s="134"/>
      <c r="D376" s="113"/>
      <c r="E376" s="114"/>
      <c r="F376" s="173"/>
      <c r="G376" s="116" t="s">
        <v>244</v>
      </c>
      <c r="H376" s="116" t="s">
        <v>244</v>
      </c>
      <c r="I376" s="113"/>
      <c r="J376" s="117" t="s">
        <v>244</v>
      </c>
      <c r="K376" s="118"/>
      <c r="L376" s="119">
        <v>0</v>
      </c>
      <c r="M376" s="120" t="s">
        <v>244</v>
      </c>
      <c r="N376" s="121" t="s">
        <v>244</v>
      </c>
      <c r="O376" s="122" t="s">
        <v>244</v>
      </c>
      <c r="P376" s="123" t="s">
        <v>244</v>
      </c>
      <c r="Q376" s="124"/>
      <c r="R376" s="135"/>
      <c r="S376" s="136"/>
      <c r="T376" s="137"/>
      <c r="U376" s="138" t="s">
        <v>244</v>
      </c>
      <c r="V376" s="138" t="s">
        <v>244</v>
      </c>
      <c r="W376" s="139" t="s">
        <v>244</v>
      </c>
      <c r="X376" s="139" t="s">
        <v>244</v>
      </c>
      <c r="Y376" s="54">
        <v>0</v>
      </c>
    </row>
    <row r="377" spans="2:25" s="49" customFormat="1" ht="15.75" x14ac:dyDescent="0.25">
      <c r="B377" s="133"/>
      <c r="C377" s="134"/>
      <c r="D377" s="113"/>
      <c r="E377" s="114"/>
      <c r="F377" s="173"/>
      <c r="G377" s="116" t="s">
        <v>244</v>
      </c>
      <c r="H377" s="116" t="s">
        <v>244</v>
      </c>
      <c r="I377" s="113"/>
      <c r="J377" s="117" t="s">
        <v>244</v>
      </c>
      <c r="K377" s="118"/>
      <c r="L377" s="119">
        <v>0</v>
      </c>
      <c r="M377" s="120" t="s">
        <v>244</v>
      </c>
      <c r="N377" s="121" t="s">
        <v>244</v>
      </c>
      <c r="O377" s="122" t="s">
        <v>244</v>
      </c>
      <c r="P377" s="123" t="s">
        <v>244</v>
      </c>
      <c r="Q377" s="124"/>
      <c r="R377" s="135"/>
      <c r="S377" s="136"/>
      <c r="T377" s="137"/>
      <c r="U377" s="138" t="s">
        <v>244</v>
      </c>
      <c r="V377" s="138" t="s">
        <v>244</v>
      </c>
      <c r="W377" s="139" t="s">
        <v>244</v>
      </c>
      <c r="X377" s="139" t="s">
        <v>244</v>
      </c>
      <c r="Y377" s="54">
        <v>0</v>
      </c>
    </row>
    <row r="378" spans="2:25" s="49" customFormat="1" ht="15.75" x14ac:dyDescent="0.25">
      <c r="B378" s="133"/>
      <c r="C378" s="134"/>
      <c r="D378" s="113"/>
      <c r="E378" s="114"/>
      <c r="F378" s="173"/>
      <c r="G378" s="116" t="s">
        <v>244</v>
      </c>
      <c r="H378" s="116" t="s">
        <v>244</v>
      </c>
      <c r="I378" s="113"/>
      <c r="J378" s="117" t="s">
        <v>244</v>
      </c>
      <c r="K378" s="118"/>
      <c r="L378" s="119">
        <v>0</v>
      </c>
      <c r="M378" s="120" t="s">
        <v>244</v>
      </c>
      <c r="N378" s="121" t="s">
        <v>244</v>
      </c>
      <c r="O378" s="122" t="s">
        <v>244</v>
      </c>
      <c r="P378" s="123" t="s">
        <v>244</v>
      </c>
      <c r="Q378" s="124"/>
      <c r="R378" s="135"/>
      <c r="S378" s="136"/>
      <c r="T378" s="137"/>
      <c r="U378" s="138" t="s">
        <v>244</v>
      </c>
      <c r="V378" s="138" t="s">
        <v>244</v>
      </c>
      <c r="W378" s="139" t="s">
        <v>244</v>
      </c>
      <c r="X378" s="139" t="s">
        <v>244</v>
      </c>
      <c r="Y378" s="54">
        <v>0</v>
      </c>
    </row>
    <row r="379" spans="2:25" s="49" customFormat="1" ht="15.75" x14ac:dyDescent="0.25">
      <c r="B379" s="133"/>
      <c r="C379" s="134"/>
      <c r="D379" s="113"/>
      <c r="E379" s="114"/>
      <c r="F379" s="173"/>
      <c r="G379" s="116" t="s">
        <v>244</v>
      </c>
      <c r="H379" s="116" t="s">
        <v>244</v>
      </c>
      <c r="I379" s="113"/>
      <c r="J379" s="117" t="s">
        <v>244</v>
      </c>
      <c r="K379" s="118"/>
      <c r="L379" s="119">
        <v>0</v>
      </c>
      <c r="M379" s="120" t="s">
        <v>244</v>
      </c>
      <c r="N379" s="121" t="s">
        <v>244</v>
      </c>
      <c r="O379" s="122" t="s">
        <v>244</v>
      </c>
      <c r="P379" s="123" t="s">
        <v>244</v>
      </c>
      <c r="Q379" s="124"/>
      <c r="R379" s="135"/>
      <c r="S379" s="136"/>
      <c r="T379" s="137"/>
      <c r="U379" s="138" t="s">
        <v>244</v>
      </c>
      <c r="V379" s="138" t="s">
        <v>244</v>
      </c>
      <c r="W379" s="139" t="s">
        <v>244</v>
      </c>
      <c r="X379" s="139" t="s">
        <v>244</v>
      </c>
      <c r="Y379" s="54">
        <v>0</v>
      </c>
    </row>
    <row r="380" spans="2:25" s="49" customFormat="1" ht="15.75" x14ac:dyDescent="0.25">
      <c r="B380" s="133"/>
      <c r="C380" s="134"/>
      <c r="D380" s="113"/>
      <c r="E380" s="114"/>
      <c r="F380" s="173"/>
      <c r="G380" s="116" t="s">
        <v>244</v>
      </c>
      <c r="H380" s="116" t="s">
        <v>244</v>
      </c>
      <c r="I380" s="113"/>
      <c r="J380" s="117" t="s">
        <v>244</v>
      </c>
      <c r="K380" s="118"/>
      <c r="L380" s="119">
        <v>0</v>
      </c>
      <c r="M380" s="120" t="s">
        <v>244</v>
      </c>
      <c r="N380" s="121" t="s">
        <v>244</v>
      </c>
      <c r="O380" s="122" t="s">
        <v>244</v>
      </c>
      <c r="P380" s="123" t="s">
        <v>244</v>
      </c>
      <c r="Q380" s="124"/>
      <c r="R380" s="135"/>
      <c r="S380" s="136"/>
      <c r="T380" s="137"/>
      <c r="U380" s="138" t="s">
        <v>244</v>
      </c>
      <c r="V380" s="138" t="s">
        <v>244</v>
      </c>
      <c r="W380" s="139" t="s">
        <v>244</v>
      </c>
      <c r="X380" s="139" t="s">
        <v>244</v>
      </c>
      <c r="Y380" s="54">
        <v>0</v>
      </c>
    </row>
    <row r="381" spans="2:25" s="49" customFormat="1" ht="15.75" x14ac:dyDescent="0.25">
      <c r="B381" s="133"/>
      <c r="C381" s="134"/>
      <c r="D381" s="113"/>
      <c r="E381" s="114"/>
      <c r="F381" s="173"/>
      <c r="G381" s="116" t="s">
        <v>244</v>
      </c>
      <c r="H381" s="116" t="s">
        <v>244</v>
      </c>
      <c r="I381" s="113"/>
      <c r="J381" s="117" t="s">
        <v>244</v>
      </c>
      <c r="K381" s="118"/>
      <c r="L381" s="119">
        <v>0</v>
      </c>
      <c r="M381" s="120" t="s">
        <v>244</v>
      </c>
      <c r="N381" s="121" t="s">
        <v>244</v>
      </c>
      <c r="O381" s="122" t="s">
        <v>244</v>
      </c>
      <c r="P381" s="123" t="s">
        <v>244</v>
      </c>
      <c r="Q381" s="124"/>
      <c r="R381" s="135"/>
      <c r="S381" s="136"/>
      <c r="T381" s="137"/>
      <c r="U381" s="138" t="s">
        <v>244</v>
      </c>
      <c r="V381" s="138" t="s">
        <v>244</v>
      </c>
      <c r="W381" s="139" t="s">
        <v>244</v>
      </c>
      <c r="X381" s="139" t="s">
        <v>244</v>
      </c>
      <c r="Y381" s="54">
        <v>0</v>
      </c>
    </row>
    <row r="382" spans="2:25" s="49" customFormat="1" ht="15.75" x14ac:dyDescent="0.25">
      <c r="B382" s="133"/>
      <c r="C382" s="134"/>
      <c r="D382" s="113"/>
      <c r="E382" s="114"/>
      <c r="F382" s="173"/>
      <c r="G382" s="116" t="s">
        <v>244</v>
      </c>
      <c r="H382" s="116" t="s">
        <v>244</v>
      </c>
      <c r="I382" s="113"/>
      <c r="J382" s="117" t="s">
        <v>244</v>
      </c>
      <c r="K382" s="118"/>
      <c r="L382" s="119">
        <v>0</v>
      </c>
      <c r="M382" s="120" t="s">
        <v>244</v>
      </c>
      <c r="N382" s="121" t="s">
        <v>244</v>
      </c>
      <c r="O382" s="122" t="s">
        <v>244</v>
      </c>
      <c r="P382" s="123" t="s">
        <v>244</v>
      </c>
      <c r="Q382" s="124"/>
      <c r="R382" s="135"/>
      <c r="S382" s="136"/>
      <c r="T382" s="137"/>
      <c r="U382" s="138" t="s">
        <v>244</v>
      </c>
      <c r="V382" s="138" t="s">
        <v>244</v>
      </c>
      <c r="W382" s="139" t="s">
        <v>244</v>
      </c>
      <c r="X382" s="139" t="s">
        <v>244</v>
      </c>
      <c r="Y382" s="54">
        <v>0</v>
      </c>
    </row>
    <row r="383" spans="2:25" s="49" customFormat="1" ht="15.75" x14ac:dyDescent="0.25">
      <c r="B383" s="133"/>
      <c r="C383" s="134"/>
      <c r="D383" s="113"/>
      <c r="E383" s="114"/>
      <c r="F383" s="173"/>
      <c r="G383" s="116" t="s">
        <v>244</v>
      </c>
      <c r="H383" s="116" t="s">
        <v>244</v>
      </c>
      <c r="I383" s="113"/>
      <c r="J383" s="117" t="s">
        <v>244</v>
      </c>
      <c r="K383" s="118"/>
      <c r="L383" s="119">
        <v>0</v>
      </c>
      <c r="M383" s="120" t="s">
        <v>244</v>
      </c>
      <c r="N383" s="121" t="s">
        <v>244</v>
      </c>
      <c r="O383" s="122" t="s">
        <v>244</v>
      </c>
      <c r="P383" s="123" t="s">
        <v>244</v>
      </c>
      <c r="Q383" s="124"/>
      <c r="R383" s="135"/>
      <c r="S383" s="136"/>
      <c r="T383" s="137"/>
      <c r="U383" s="138" t="s">
        <v>244</v>
      </c>
      <c r="V383" s="138" t="s">
        <v>244</v>
      </c>
      <c r="W383" s="139" t="s">
        <v>244</v>
      </c>
      <c r="X383" s="139" t="s">
        <v>244</v>
      </c>
      <c r="Y383" s="54">
        <v>0</v>
      </c>
    </row>
    <row r="384" spans="2:25" s="49" customFormat="1" ht="15.75" x14ac:dyDescent="0.25">
      <c r="B384" s="133"/>
      <c r="C384" s="134"/>
      <c r="D384" s="113"/>
      <c r="E384" s="114"/>
      <c r="F384" s="173"/>
      <c r="G384" s="116" t="s">
        <v>244</v>
      </c>
      <c r="H384" s="116" t="s">
        <v>244</v>
      </c>
      <c r="I384" s="113"/>
      <c r="J384" s="117" t="s">
        <v>244</v>
      </c>
      <c r="K384" s="118"/>
      <c r="L384" s="119">
        <v>0</v>
      </c>
      <c r="M384" s="120" t="s">
        <v>244</v>
      </c>
      <c r="N384" s="121" t="s">
        <v>244</v>
      </c>
      <c r="O384" s="122" t="s">
        <v>244</v>
      </c>
      <c r="P384" s="123" t="s">
        <v>244</v>
      </c>
      <c r="Q384" s="124"/>
      <c r="R384" s="135"/>
      <c r="S384" s="136"/>
      <c r="T384" s="137"/>
      <c r="U384" s="138" t="s">
        <v>244</v>
      </c>
      <c r="V384" s="138" t="s">
        <v>244</v>
      </c>
      <c r="W384" s="139" t="s">
        <v>244</v>
      </c>
      <c r="X384" s="139" t="s">
        <v>244</v>
      </c>
      <c r="Y384" s="54">
        <v>0</v>
      </c>
    </row>
    <row r="385" spans="2:25" s="49" customFormat="1" ht="15.75" x14ac:dyDescent="0.25">
      <c r="B385" s="133"/>
      <c r="C385" s="134"/>
      <c r="D385" s="113"/>
      <c r="E385" s="114"/>
      <c r="F385" s="173"/>
      <c r="G385" s="116" t="s">
        <v>244</v>
      </c>
      <c r="H385" s="116" t="s">
        <v>244</v>
      </c>
      <c r="I385" s="113"/>
      <c r="J385" s="117" t="s">
        <v>244</v>
      </c>
      <c r="K385" s="118"/>
      <c r="L385" s="119">
        <v>0</v>
      </c>
      <c r="M385" s="120" t="s">
        <v>244</v>
      </c>
      <c r="N385" s="121" t="s">
        <v>244</v>
      </c>
      <c r="O385" s="122" t="s">
        <v>244</v>
      </c>
      <c r="P385" s="123" t="s">
        <v>244</v>
      </c>
      <c r="Q385" s="124"/>
      <c r="R385" s="135"/>
      <c r="S385" s="136"/>
      <c r="T385" s="137"/>
      <c r="U385" s="138" t="s">
        <v>244</v>
      </c>
      <c r="V385" s="138" t="s">
        <v>244</v>
      </c>
      <c r="W385" s="139" t="s">
        <v>244</v>
      </c>
      <c r="X385" s="139" t="s">
        <v>244</v>
      </c>
      <c r="Y385" s="54">
        <v>0</v>
      </c>
    </row>
    <row r="386" spans="2:25" s="49" customFormat="1" ht="15.75" x14ac:dyDescent="0.25">
      <c r="B386" s="133"/>
      <c r="C386" s="134"/>
      <c r="D386" s="113"/>
      <c r="E386" s="114"/>
      <c r="F386" s="173"/>
      <c r="G386" s="116" t="s">
        <v>244</v>
      </c>
      <c r="H386" s="116" t="s">
        <v>244</v>
      </c>
      <c r="I386" s="113"/>
      <c r="J386" s="117" t="s">
        <v>244</v>
      </c>
      <c r="K386" s="118"/>
      <c r="L386" s="119">
        <v>0</v>
      </c>
      <c r="M386" s="120" t="s">
        <v>244</v>
      </c>
      <c r="N386" s="121" t="s">
        <v>244</v>
      </c>
      <c r="O386" s="122" t="s">
        <v>244</v>
      </c>
      <c r="P386" s="123" t="s">
        <v>244</v>
      </c>
      <c r="Q386" s="124"/>
      <c r="R386" s="135"/>
      <c r="S386" s="136"/>
      <c r="T386" s="137"/>
      <c r="U386" s="138" t="s">
        <v>244</v>
      </c>
      <c r="V386" s="138" t="s">
        <v>244</v>
      </c>
      <c r="W386" s="139" t="s">
        <v>244</v>
      </c>
      <c r="X386" s="139" t="s">
        <v>244</v>
      </c>
      <c r="Y386" s="54">
        <v>0</v>
      </c>
    </row>
    <row r="387" spans="2:25" s="49" customFormat="1" ht="15.75" x14ac:dyDescent="0.25">
      <c r="B387" s="133"/>
      <c r="C387" s="134"/>
      <c r="D387" s="113"/>
      <c r="E387" s="114"/>
      <c r="F387" s="173"/>
      <c r="G387" s="116" t="s">
        <v>244</v>
      </c>
      <c r="H387" s="116" t="s">
        <v>244</v>
      </c>
      <c r="I387" s="113"/>
      <c r="J387" s="117" t="s">
        <v>244</v>
      </c>
      <c r="K387" s="118"/>
      <c r="L387" s="119">
        <v>0</v>
      </c>
      <c r="M387" s="120" t="s">
        <v>244</v>
      </c>
      <c r="N387" s="121" t="s">
        <v>244</v>
      </c>
      <c r="O387" s="122" t="s">
        <v>244</v>
      </c>
      <c r="P387" s="123" t="s">
        <v>244</v>
      </c>
      <c r="Q387" s="124"/>
      <c r="R387" s="135"/>
      <c r="S387" s="136"/>
      <c r="T387" s="137"/>
      <c r="U387" s="138" t="s">
        <v>244</v>
      </c>
      <c r="V387" s="138" t="s">
        <v>244</v>
      </c>
      <c r="W387" s="139" t="s">
        <v>244</v>
      </c>
      <c r="X387" s="139" t="s">
        <v>244</v>
      </c>
      <c r="Y387" s="54">
        <v>0</v>
      </c>
    </row>
    <row r="388" spans="2:25" s="49" customFormat="1" ht="15.75" x14ac:dyDescent="0.25">
      <c r="B388" s="133"/>
      <c r="C388" s="134"/>
      <c r="D388" s="113"/>
      <c r="E388" s="114"/>
      <c r="F388" s="173"/>
      <c r="G388" s="116" t="s">
        <v>244</v>
      </c>
      <c r="H388" s="116" t="s">
        <v>244</v>
      </c>
      <c r="I388" s="113"/>
      <c r="J388" s="117" t="s">
        <v>244</v>
      </c>
      <c r="K388" s="118"/>
      <c r="L388" s="119">
        <v>0</v>
      </c>
      <c r="M388" s="120" t="s">
        <v>244</v>
      </c>
      <c r="N388" s="121" t="s">
        <v>244</v>
      </c>
      <c r="O388" s="122" t="s">
        <v>244</v>
      </c>
      <c r="P388" s="123" t="s">
        <v>244</v>
      </c>
      <c r="Q388" s="124"/>
      <c r="R388" s="135"/>
      <c r="S388" s="136"/>
      <c r="T388" s="137"/>
      <c r="U388" s="138" t="s">
        <v>244</v>
      </c>
      <c r="V388" s="138" t="s">
        <v>244</v>
      </c>
      <c r="W388" s="139" t="s">
        <v>244</v>
      </c>
      <c r="X388" s="139" t="s">
        <v>244</v>
      </c>
      <c r="Y388" s="54">
        <v>0</v>
      </c>
    </row>
    <row r="389" spans="2:25" s="49" customFormat="1" ht="15.75" x14ac:dyDescent="0.25">
      <c r="B389" s="133"/>
      <c r="C389" s="134"/>
      <c r="D389" s="113"/>
      <c r="E389" s="114"/>
      <c r="F389" s="173"/>
      <c r="G389" s="116" t="s">
        <v>244</v>
      </c>
      <c r="H389" s="116" t="s">
        <v>244</v>
      </c>
      <c r="I389" s="113"/>
      <c r="J389" s="117" t="s">
        <v>244</v>
      </c>
      <c r="K389" s="118"/>
      <c r="L389" s="119">
        <v>0</v>
      </c>
      <c r="M389" s="120" t="s">
        <v>244</v>
      </c>
      <c r="N389" s="121" t="s">
        <v>244</v>
      </c>
      <c r="O389" s="122" t="s">
        <v>244</v>
      </c>
      <c r="P389" s="123" t="s">
        <v>244</v>
      </c>
      <c r="Q389" s="124"/>
      <c r="R389" s="135"/>
      <c r="S389" s="136"/>
      <c r="T389" s="137"/>
      <c r="U389" s="138" t="s">
        <v>244</v>
      </c>
      <c r="V389" s="138" t="s">
        <v>244</v>
      </c>
      <c r="W389" s="139" t="s">
        <v>244</v>
      </c>
      <c r="X389" s="139" t="s">
        <v>244</v>
      </c>
      <c r="Y389" s="54">
        <v>0</v>
      </c>
    </row>
    <row r="390" spans="2:25" s="49" customFormat="1" ht="15.75" x14ac:dyDescent="0.25">
      <c r="B390" s="133"/>
      <c r="C390" s="134"/>
      <c r="D390" s="113"/>
      <c r="E390" s="114"/>
      <c r="F390" s="173"/>
      <c r="G390" s="116" t="s">
        <v>244</v>
      </c>
      <c r="H390" s="116" t="s">
        <v>244</v>
      </c>
      <c r="I390" s="113"/>
      <c r="J390" s="117" t="s">
        <v>244</v>
      </c>
      <c r="K390" s="118"/>
      <c r="L390" s="119">
        <v>0</v>
      </c>
      <c r="M390" s="120" t="s">
        <v>244</v>
      </c>
      <c r="N390" s="121" t="s">
        <v>244</v>
      </c>
      <c r="O390" s="122" t="s">
        <v>244</v>
      </c>
      <c r="P390" s="123" t="s">
        <v>244</v>
      </c>
      <c r="Q390" s="124"/>
      <c r="R390" s="135"/>
      <c r="S390" s="136"/>
      <c r="T390" s="137"/>
      <c r="U390" s="138" t="s">
        <v>244</v>
      </c>
      <c r="V390" s="138" t="s">
        <v>244</v>
      </c>
      <c r="W390" s="139" t="s">
        <v>244</v>
      </c>
      <c r="X390" s="139" t="s">
        <v>244</v>
      </c>
      <c r="Y390" s="54">
        <v>0</v>
      </c>
    </row>
    <row r="391" spans="2:25" s="49" customFormat="1" ht="15.75" x14ac:dyDescent="0.25">
      <c r="B391" s="133"/>
      <c r="C391" s="134"/>
      <c r="D391" s="113"/>
      <c r="E391" s="114"/>
      <c r="F391" s="173"/>
      <c r="G391" s="116" t="s">
        <v>244</v>
      </c>
      <c r="H391" s="116" t="s">
        <v>244</v>
      </c>
      <c r="I391" s="113"/>
      <c r="J391" s="117" t="s">
        <v>244</v>
      </c>
      <c r="K391" s="118"/>
      <c r="L391" s="119">
        <v>0</v>
      </c>
      <c r="M391" s="120" t="s">
        <v>244</v>
      </c>
      <c r="N391" s="121" t="s">
        <v>244</v>
      </c>
      <c r="O391" s="122" t="s">
        <v>244</v>
      </c>
      <c r="P391" s="123" t="s">
        <v>244</v>
      </c>
      <c r="Q391" s="124"/>
      <c r="R391" s="135"/>
      <c r="S391" s="136"/>
      <c r="T391" s="137"/>
      <c r="U391" s="138" t="s">
        <v>244</v>
      </c>
      <c r="V391" s="138" t="s">
        <v>244</v>
      </c>
      <c r="W391" s="139" t="s">
        <v>244</v>
      </c>
      <c r="X391" s="139" t="s">
        <v>244</v>
      </c>
      <c r="Y391" s="54">
        <v>0</v>
      </c>
    </row>
    <row r="392" spans="2:25" s="49" customFormat="1" ht="15.75" x14ac:dyDescent="0.25">
      <c r="B392" s="133"/>
      <c r="C392" s="134"/>
      <c r="D392" s="113"/>
      <c r="E392" s="114"/>
      <c r="F392" s="173"/>
      <c r="G392" s="116" t="s">
        <v>244</v>
      </c>
      <c r="H392" s="116" t="s">
        <v>244</v>
      </c>
      <c r="I392" s="113"/>
      <c r="J392" s="117" t="s">
        <v>244</v>
      </c>
      <c r="K392" s="118"/>
      <c r="L392" s="119">
        <v>0</v>
      </c>
      <c r="M392" s="120" t="s">
        <v>244</v>
      </c>
      <c r="N392" s="121" t="s">
        <v>244</v>
      </c>
      <c r="O392" s="122" t="s">
        <v>244</v>
      </c>
      <c r="P392" s="123" t="s">
        <v>244</v>
      </c>
      <c r="Q392" s="124"/>
      <c r="R392" s="135"/>
      <c r="S392" s="136"/>
      <c r="T392" s="137"/>
      <c r="U392" s="138" t="s">
        <v>244</v>
      </c>
      <c r="V392" s="138" t="s">
        <v>244</v>
      </c>
      <c r="W392" s="139" t="s">
        <v>244</v>
      </c>
      <c r="X392" s="139" t="s">
        <v>244</v>
      </c>
      <c r="Y392" s="54">
        <v>0</v>
      </c>
    </row>
    <row r="393" spans="2:25" s="49" customFormat="1" ht="15.75" x14ac:dyDescent="0.25">
      <c r="B393" s="133"/>
      <c r="C393" s="134"/>
      <c r="D393" s="113"/>
      <c r="E393" s="114"/>
      <c r="F393" s="173"/>
      <c r="G393" s="116" t="s">
        <v>244</v>
      </c>
      <c r="H393" s="116" t="s">
        <v>244</v>
      </c>
      <c r="I393" s="113"/>
      <c r="J393" s="117" t="s">
        <v>244</v>
      </c>
      <c r="K393" s="118"/>
      <c r="L393" s="119">
        <v>0</v>
      </c>
      <c r="M393" s="120" t="s">
        <v>244</v>
      </c>
      <c r="N393" s="121" t="s">
        <v>244</v>
      </c>
      <c r="O393" s="122" t="s">
        <v>244</v>
      </c>
      <c r="P393" s="123" t="s">
        <v>244</v>
      </c>
      <c r="Q393" s="124"/>
      <c r="R393" s="135"/>
      <c r="S393" s="136"/>
      <c r="T393" s="137"/>
      <c r="U393" s="138" t="s">
        <v>244</v>
      </c>
      <c r="V393" s="138" t="s">
        <v>244</v>
      </c>
      <c r="W393" s="139" t="s">
        <v>244</v>
      </c>
      <c r="X393" s="139" t="s">
        <v>244</v>
      </c>
      <c r="Y393" s="54">
        <v>0</v>
      </c>
    </row>
    <row r="394" spans="2:25" s="49" customFormat="1" ht="15.75" x14ac:dyDescent="0.25">
      <c r="B394" s="133"/>
      <c r="C394" s="134"/>
      <c r="D394" s="113"/>
      <c r="E394" s="114"/>
      <c r="F394" s="173"/>
      <c r="G394" s="116" t="s">
        <v>244</v>
      </c>
      <c r="H394" s="116" t="s">
        <v>244</v>
      </c>
      <c r="I394" s="113"/>
      <c r="J394" s="117" t="s">
        <v>244</v>
      </c>
      <c r="K394" s="118"/>
      <c r="L394" s="119">
        <v>0</v>
      </c>
      <c r="M394" s="120" t="s">
        <v>244</v>
      </c>
      <c r="N394" s="121" t="s">
        <v>244</v>
      </c>
      <c r="O394" s="122" t="s">
        <v>244</v>
      </c>
      <c r="P394" s="123" t="s">
        <v>244</v>
      </c>
      <c r="Q394" s="124"/>
      <c r="R394" s="135"/>
      <c r="S394" s="136"/>
      <c r="T394" s="137"/>
      <c r="U394" s="138" t="s">
        <v>244</v>
      </c>
      <c r="V394" s="138" t="s">
        <v>244</v>
      </c>
      <c r="W394" s="139" t="s">
        <v>244</v>
      </c>
      <c r="X394" s="139" t="s">
        <v>244</v>
      </c>
      <c r="Y394" s="54">
        <v>0</v>
      </c>
    </row>
    <row r="395" spans="2:25" s="49" customFormat="1" ht="15.75" x14ac:dyDescent="0.25">
      <c r="B395" s="133"/>
      <c r="C395" s="134"/>
      <c r="D395" s="113"/>
      <c r="E395" s="114"/>
      <c r="F395" s="173"/>
      <c r="G395" s="116" t="s">
        <v>244</v>
      </c>
      <c r="H395" s="116" t="s">
        <v>244</v>
      </c>
      <c r="I395" s="113"/>
      <c r="J395" s="117" t="s">
        <v>244</v>
      </c>
      <c r="K395" s="118"/>
      <c r="L395" s="119">
        <v>0</v>
      </c>
      <c r="M395" s="120" t="s">
        <v>244</v>
      </c>
      <c r="N395" s="121" t="s">
        <v>244</v>
      </c>
      <c r="O395" s="122" t="s">
        <v>244</v>
      </c>
      <c r="P395" s="123" t="s">
        <v>244</v>
      </c>
      <c r="Q395" s="124"/>
      <c r="R395" s="135"/>
      <c r="S395" s="136"/>
      <c r="T395" s="137"/>
      <c r="U395" s="138" t="s">
        <v>244</v>
      </c>
      <c r="V395" s="138" t="s">
        <v>244</v>
      </c>
      <c r="W395" s="139" t="s">
        <v>244</v>
      </c>
      <c r="X395" s="139" t="s">
        <v>244</v>
      </c>
      <c r="Y395" s="54">
        <v>0</v>
      </c>
    </row>
    <row r="396" spans="2:25" s="49" customFormat="1" ht="15.75" x14ac:dyDescent="0.25">
      <c r="B396" s="133"/>
      <c r="C396" s="134"/>
      <c r="D396" s="113"/>
      <c r="E396" s="114"/>
      <c r="F396" s="173"/>
      <c r="G396" s="116" t="s">
        <v>244</v>
      </c>
      <c r="H396" s="116" t="s">
        <v>244</v>
      </c>
      <c r="I396" s="113"/>
      <c r="J396" s="117" t="s">
        <v>244</v>
      </c>
      <c r="K396" s="118"/>
      <c r="L396" s="119">
        <v>0</v>
      </c>
      <c r="M396" s="120" t="s">
        <v>244</v>
      </c>
      <c r="N396" s="121" t="s">
        <v>244</v>
      </c>
      <c r="O396" s="122" t="s">
        <v>244</v>
      </c>
      <c r="P396" s="123" t="s">
        <v>244</v>
      </c>
      <c r="Q396" s="124"/>
      <c r="R396" s="135"/>
      <c r="S396" s="136"/>
      <c r="T396" s="137"/>
      <c r="U396" s="138" t="s">
        <v>244</v>
      </c>
      <c r="V396" s="138" t="s">
        <v>244</v>
      </c>
      <c r="W396" s="139" t="s">
        <v>244</v>
      </c>
      <c r="X396" s="139" t="s">
        <v>244</v>
      </c>
      <c r="Y396" s="54">
        <v>0</v>
      </c>
    </row>
    <row r="397" spans="2:25" s="49" customFormat="1" ht="15.75" x14ac:dyDescent="0.25">
      <c r="B397" s="133"/>
      <c r="C397" s="134"/>
      <c r="D397" s="113"/>
      <c r="E397" s="114"/>
      <c r="F397" s="173"/>
      <c r="G397" s="116" t="s">
        <v>244</v>
      </c>
      <c r="H397" s="116" t="s">
        <v>244</v>
      </c>
      <c r="I397" s="113"/>
      <c r="J397" s="117" t="s">
        <v>244</v>
      </c>
      <c r="K397" s="118"/>
      <c r="L397" s="119">
        <v>0</v>
      </c>
      <c r="M397" s="120" t="s">
        <v>244</v>
      </c>
      <c r="N397" s="121" t="s">
        <v>244</v>
      </c>
      <c r="O397" s="122" t="s">
        <v>244</v>
      </c>
      <c r="P397" s="123" t="s">
        <v>244</v>
      </c>
      <c r="Q397" s="124"/>
      <c r="R397" s="135"/>
      <c r="S397" s="136"/>
      <c r="T397" s="137"/>
      <c r="U397" s="138" t="s">
        <v>244</v>
      </c>
      <c r="V397" s="138" t="s">
        <v>244</v>
      </c>
      <c r="W397" s="139" t="s">
        <v>244</v>
      </c>
      <c r="X397" s="139" t="s">
        <v>244</v>
      </c>
      <c r="Y397" s="54">
        <v>0</v>
      </c>
    </row>
    <row r="398" spans="2:25" s="49" customFormat="1" ht="15.75" x14ac:dyDescent="0.25">
      <c r="B398" s="133"/>
      <c r="C398" s="134"/>
      <c r="D398" s="113"/>
      <c r="E398" s="114"/>
      <c r="F398" s="173"/>
      <c r="G398" s="116" t="s">
        <v>244</v>
      </c>
      <c r="H398" s="116" t="s">
        <v>244</v>
      </c>
      <c r="I398" s="113"/>
      <c r="J398" s="117" t="s">
        <v>244</v>
      </c>
      <c r="K398" s="118"/>
      <c r="L398" s="119">
        <v>0</v>
      </c>
      <c r="M398" s="120" t="s">
        <v>244</v>
      </c>
      <c r="N398" s="121" t="s">
        <v>244</v>
      </c>
      <c r="O398" s="122" t="s">
        <v>244</v>
      </c>
      <c r="P398" s="123" t="s">
        <v>244</v>
      </c>
      <c r="Q398" s="124"/>
      <c r="R398" s="135"/>
      <c r="S398" s="136"/>
      <c r="T398" s="137"/>
      <c r="U398" s="138" t="s">
        <v>244</v>
      </c>
      <c r="V398" s="138" t="s">
        <v>244</v>
      </c>
      <c r="W398" s="139" t="s">
        <v>244</v>
      </c>
      <c r="X398" s="139" t="s">
        <v>244</v>
      </c>
      <c r="Y398" s="54">
        <v>0</v>
      </c>
    </row>
    <row r="399" spans="2:25" s="49" customFormat="1" ht="15.75" x14ac:dyDescent="0.25">
      <c r="B399" s="133"/>
      <c r="C399" s="134"/>
      <c r="D399" s="113"/>
      <c r="E399" s="114"/>
      <c r="F399" s="173"/>
      <c r="G399" s="116" t="s">
        <v>244</v>
      </c>
      <c r="H399" s="116" t="s">
        <v>244</v>
      </c>
      <c r="I399" s="113"/>
      <c r="J399" s="117" t="s">
        <v>244</v>
      </c>
      <c r="K399" s="118"/>
      <c r="L399" s="119">
        <v>0</v>
      </c>
      <c r="M399" s="120" t="s">
        <v>244</v>
      </c>
      <c r="N399" s="121" t="s">
        <v>244</v>
      </c>
      <c r="O399" s="122" t="s">
        <v>244</v>
      </c>
      <c r="P399" s="123" t="s">
        <v>244</v>
      </c>
      <c r="Q399" s="124"/>
      <c r="R399" s="135"/>
      <c r="S399" s="136"/>
      <c r="T399" s="137"/>
      <c r="U399" s="138" t="s">
        <v>244</v>
      </c>
      <c r="V399" s="138" t="s">
        <v>244</v>
      </c>
      <c r="W399" s="139" t="s">
        <v>244</v>
      </c>
      <c r="X399" s="139" t="s">
        <v>244</v>
      </c>
      <c r="Y399" s="54">
        <v>0</v>
      </c>
    </row>
    <row r="400" spans="2:25" s="49" customFormat="1" ht="15.75" x14ac:dyDescent="0.25">
      <c r="B400" s="133"/>
      <c r="C400" s="134"/>
      <c r="D400" s="113"/>
      <c r="E400" s="114"/>
      <c r="F400" s="173"/>
      <c r="G400" s="116" t="s">
        <v>244</v>
      </c>
      <c r="H400" s="116" t="s">
        <v>244</v>
      </c>
      <c r="I400" s="113"/>
      <c r="J400" s="117" t="s">
        <v>244</v>
      </c>
      <c r="K400" s="118"/>
      <c r="L400" s="119">
        <v>0</v>
      </c>
      <c r="M400" s="120" t="s">
        <v>244</v>
      </c>
      <c r="N400" s="121" t="s">
        <v>244</v>
      </c>
      <c r="O400" s="122" t="s">
        <v>244</v>
      </c>
      <c r="P400" s="123" t="s">
        <v>244</v>
      </c>
      <c r="Q400" s="124"/>
      <c r="R400" s="135"/>
      <c r="S400" s="136"/>
      <c r="T400" s="137"/>
      <c r="U400" s="138" t="s">
        <v>244</v>
      </c>
      <c r="V400" s="138" t="s">
        <v>244</v>
      </c>
      <c r="W400" s="139" t="s">
        <v>244</v>
      </c>
      <c r="X400" s="139" t="s">
        <v>244</v>
      </c>
      <c r="Y400" s="54">
        <v>0</v>
      </c>
    </row>
    <row r="401" spans="2:25" s="49" customFormat="1" ht="15.75" x14ac:dyDescent="0.25">
      <c r="B401" s="133"/>
      <c r="C401" s="134"/>
      <c r="D401" s="113"/>
      <c r="E401" s="114"/>
      <c r="F401" s="173"/>
      <c r="G401" s="116" t="s">
        <v>244</v>
      </c>
      <c r="H401" s="116" t="s">
        <v>244</v>
      </c>
      <c r="I401" s="113"/>
      <c r="J401" s="117" t="s">
        <v>244</v>
      </c>
      <c r="K401" s="118"/>
      <c r="L401" s="119">
        <v>0</v>
      </c>
      <c r="M401" s="120" t="s">
        <v>244</v>
      </c>
      <c r="N401" s="121" t="s">
        <v>244</v>
      </c>
      <c r="O401" s="122" t="s">
        <v>244</v>
      </c>
      <c r="P401" s="123" t="s">
        <v>244</v>
      </c>
      <c r="Q401" s="124"/>
      <c r="R401" s="135"/>
      <c r="S401" s="136"/>
      <c r="T401" s="137"/>
      <c r="U401" s="138" t="s">
        <v>244</v>
      </c>
      <c r="V401" s="138" t="s">
        <v>244</v>
      </c>
      <c r="W401" s="139" t="s">
        <v>244</v>
      </c>
      <c r="X401" s="139" t="s">
        <v>244</v>
      </c>
      <c r="Y401" s="54">
        <v>0</v>
      </c>
    </row>
    <row r="402" spans="2:25" s="49" customFormat="1" ht="15.75" x14ac:dyDescent="0.25">
      <c r="B402" s="133"/>
      <c r="C402" s="134"/>
      <c r="D402" s="113"/>
      <c r="E402" s="114"/>
      <c r="F402" s="173"/>
      <c r="G402" s="116" t="s">
        <v>244</v>
      </c>
      <c r="H402" s="116" t="s">
        <v>244</v>
      </c>
      <c r="I402" s="113"/>
      <c r="J402" s="117" t="s">
        <v>244</v>
      </c>
      <c r="K402" s="118"/>
      <c r="L402" s="119">
        <v>0</v>
      </c>
      <c r="M402" s="120" t="s">
        <v>244</v>
      </c>
      <c r="N402" s="121" t="s">
        <v>244</v>
      </c>
      <c r="O402" s="122" t="s">
        <v>244</v>
      </c>
      <c r="P402" s="123" t="s">
        <v>244</v>
      </c>
      <c r="Q402" s="124"/>
      <c r="R402" s="135"/>
      <c r="S402" s="136"/>
      <c r="T402" s="137"/>
      <c r="U402" s="138" t="s">
        <v>244</v>
      </c>
      <c r="V402" s="138" t="s">
        <v>244</v>
      </c>
      <c r="W402" s="139" t="s">
        <v>244</v>
      </c>
      <c r="X402" s="139" t="s">
        <v>244</v>
      </c>
      <c r="Y402" s="54">
        <v>0</v>
      </c>
    </row>
    <row r="403" spans="2:25" s="49" customFormat="1" ht="15.75" x14ac:dyDescent="0.25">
      <c r="B403" s="133"/>
      <c r="C403" s="134"/>
      <c r="D403" s="113"/>
      <c r="E403" s="114"/>
      <c r="F403" s="173"/>
      <c r="G403" s="116" t="s">
        <v>244</v>
      </c>
      <c r="H403" s="116" t="s">
        <v>244</v>
      </c>
      <c r="I403" s="113"/>
      <c r="J403" s="117" t="s">
        <v>244</v>
      </c>
      <c r="K403" s="118"/>
      <c r="L403" s="119">
        <v>0</v>
      </c>
      <c r="M403" s="120" t="s">
        <v>244</v>
      </c>
      <c r="N403" s="121" t="s">
        <v>244</v>
      </c>
      <c r="O403" s="122" t="s">
        <v>244</v>
      </c>
      <c r="P403" s="123" t="s">
        <v>244</v>
      </c>
      <c r="Q403" s="124"/>
      <c r="R403" s="135"/>
      <c r="S403" s="136"/>
      <c r="T403" s="137"/>
      <c r="U403" s="138" t="s">
        <v>244</v>
      </c>
      <c r="V403" s="138" t="s">
        <v>244</v>
      </c>
      <c r="W403" s="139" t="s">
        <v>244</v>
      </c>
      <c r="X403" s="139" t="s">
        <v>244</v>
      </c>
      <c r="Y403" s="54">
        <v>0</v>
      </c>
    </row>
    <row r="404" spans="2:25" s="49" customFormat="1" ht="15.75" x14ac:dyDescent="0.25">
      <c r="B404" s="133"/>
      <c r="C404" s="134"/>
      <c r="D404" s="113"/>
      <c r="E404" s="114"/>
      <c r="F404" s="173"/>
      <c r="G404" s="116" t="s">
        <v>244</v>
      </c>
      <c r="H404" s="116" t="s">
        <v>244</v>
      </c>
      <c r="I404" s="113"/>
      <c r="J404" s="117" t="s">
        <v>244</v>
      </c>
      <c r="K404" s="118"/>
      <c r="L404" s="119">
        <v>0</v>
      </c>
      <c r="M404" s="120" t="s">
        <v>244</v>
      </c>
      <c r="N404" s="121" t="s">
        <v>244</v>
      </c>
      <c r="O404" s="122" t="s">
        <v>244</v>
      </c>
      <c r="P404" s="123" t="s">
        <v>244</v>
      </c>
      <c r="Q404" s="124"/>
      <c r="R404" s="135"/>
      <c r="S404" s="136"/>
      <c r="T404" s="137"/>
      <c r="U404" s="138" t="s">
        <v>244</v>
      </c>
      <c r="V404" s="138" t="s">
        <v>244</v>
      </c>
      <c r="W404" s="139" t="s">
        <v>244</v>
      </c>
      <c r="X404" s="139" t="s">
        <v>244</v>
      </c>
      <c r="Y404" s="54">
        <v>0</v>
      </c>
    </row>
    <row r="405" spans="2:25" s="49" customFormat="1" ht="15.75" x14ac:dyDescent="0.25">
      <c r="B405" s="133"/>
      <c r="C405" s="134"/>
      <c r="D405" s="113"/>
      <c r="E405" s="114"/>
      <c r="F405" s="173"/>
      <c r="G405" s="116" t="s">
        <v>244</v>
      </c>
      <c r="H405" s="116" t="s">
        <v>244</v>
      </c>
      <c r="I405" s="113"/>
      <c r="J405" s="117" t="s">
        <v>244</v>
      </c>
      <c r="K405" s="118"/>
      <c r="L405" s="119">
        <v>0</v>
      </c>
      <c r="M405" s="120" t="s">
        <v>244</v>
      </c>
      <c r="N405" s="121" t="s">
        <v>244</v>
      </c>
      <c r="O405" s="122" t="s">
        <v>244</v>
      </c>
      <c r="P405" s="123" t="s">
        <v>244</v>
      </c>
      <c r="Q405" s="124"/>
      <c r="R405" s="135"/>
      <c r="S405" s="136"/>
      <c r="T405" s="137"/>
      <c r="U405" s="138" t="s">
        <v>244</v>
      </c>
      <c r="V405" s="138" t="s">
        <v>244</v>
      </c>
      <c r="W405" s="139" t="s">
        <v>244</v>
      </c>
      <c r="X405" s="139" t="s">
        <v>244</v>
      </c>
      <c r="Y405" s="54">
        <v>0</v>
      </c>
    </row>
    <row r="406" spans="2:25" s="49" customFormat="1" ht="15.75" x14ac:dyDescent="0.25">
      <c r="B406" s="133"/>
      <c r="C406" s="134"/>
      <c r="D406" s="113"/>
      <c r="E406" s="114"/>
      <c r="F406" s="173"/>
      <c r="G406" s="116" t="s">
        <v>244</v>
      </c>
      <c r="H406" s="116" t="s">
        <v>244</v>
      </c>
      <c r="I406" s="113"/>
      <c r="J406" s="117" t="s">
        <v>244</v>
      </c>
      <c r="K406" s="118"/>
      <c r="L406" s="119">
        <v>0</v>
      </c>
      <c r="M406" s="120" t="s">
        <v>244</v>
      </c>
      <c r="N406" s="121" t="s">
        <v>244</v>
      </c>
      <c r="O406" s="122" t="s">
        <v>244</v>
      </c>
      <c r="P406" s="123" t="s">
        <v>244</v>
      </c>
      <c r="Q406" s="124"/>
      <c r="R406" s="135"/>
      <c r="S406" s="136"/>
      <c r="T406" s="137"/>
      <c r="U406" s="138" t="s">
        <v>244</v>
      </c>
      <c r="V406" s="138" t="s">
        <v>244</v>
      </c>
      <c r="W406" s="139" t="s">
        <v>244</v>
      </c>
      <c r="X406" s="139" t="s">
        <v>244</v>
      </c>
      <c r="Y406" s="54">
        <v>0</v>
      </c>
    </row>
    <row r="407" spans="2:25" s="49" customFormat="1" ht="15.75" x14ac:dyDescent="0.25">
      <c r="B407" s="133"/>
      <c r="C407" s="134"/>
      <c r="D407" s="113"/>
      <c r="E407" s="114"/>
      <c r="F407" s="173"/>
      <c r="G407" s="116" t="s">
        <v>244</v>
      </c>
      <c r="H407" s="116" t="s">
        <v>244</v>
      </c>
      <c r="I407" s="113"/>
      <c r="J407" s="117" t="s">
        <v>244</v>
      </c>
      <c r="K407" s="118"/>
      <c r="L407" s="119">
        <v>0</v>
      </c>
      <c r="M407" s="120" t="s">
        <v>244</v>
      </c>
      <c r="N407" s="121" t="s">
        <v>244</v>
      </c>
      <c r="O407" s="122" t="s">
        <v>244</v>
      </c>
      <c r="P407" s="123" t="s">
        <v>244</v>
      </c>
      <c r="Q407" s="124"/>
      <c r="R407" s="135"/>
      <c r="S407" s="136"/>
      <c r="T407" s="137"/>
      <c r="U407" s="138" t="s">
        <v>244</v>
      </c>
      <c r="V407" s="138" t="s">
        <v>244</v>
      </c>
      <c r="W407" s="139" t="s">
        <v>244</v>
      </c>
      <c r="X407" s="139" t="s">
        <v>244</v>
      </c>
      <c r="Y407" s="54">
        <v>0</v>
      </c>
    </row>
    <row r="408" spans="2:25" s="49" customFormat="1" ht="15.75" x14ac:dyDescent="0.25">
      <c r="B408" s="133"/>
      <c r="C408" s="134"/>
      <c r="D408" s="113"/>
      <c r="E408" s="114"/>
      <c r="F408" s="173"/>
      <c r="G408" s="116" t="s">
        <v>244</v>
      </c>
      <c r="H408" s="116" t="s">
        <v>244</v>
      </c>
      <c r="I408" s="113"/>
      <c r="J408" s="117" t="s">
        <v>244</v>
      </c>
      <c r="K408" s="118"/>
      <c r="L408" s="119">
        <v>0</v>
      </c>
      <c r="M408" s="120" t="s">
        <v>244</v>
      </c>
      <c r="N408" s="121" t="s">
        <v>244</v>
      </c>
      <c r="O408" s="122" t="s">
        <v>244</v>
      </c>
      <c r="P408" s="123" t="s">
        <v>244</v>
      </c>
      <c r="Q408" s="124"/>
      <c r="R408" s="135"/>
      <c r="S408" s="136"/>
      <c r="T408" s="137"/>
      <c r="U408" s="138" t="s">
        <v>244</v>
      </c>
      <c r="V408" s="138" t="s">
        <v>244</v>
      </c>
      <c r="W408" s="139" t="s">
        <v>244</v>
      </c>
      <c r="X408" s="139" t="s">
        <v>244</v>
      </c>
      <c r="Y408" s="54">
        <v>0</v>
      </c>
    </row>
    <row r="409" spans="2:25" s="49" customFormat="1" ht="15.75" x14ac:dyDescent="0.25">
      <c r="B409" s="133"/>
      <c r="C409" s="134"/>
      <c r="D409" s="113"/>
      <c r="E409" s="114"/>
      <c r="F409" s="173"/>
      <c r="G409" s="116" t="s">
        <v>244</v>
      </c>
      <c r="H409" s="116" t="s">
        <v>244</v>
      </c>
      <c r="I409" s="113"/>
      <c r="J409" s="117" t="s">
        <v>244</v>
      </c>
      <c r="K409" s="118"/>
      <c r="L409" s="119">
        <v>0</v>
      </c>
      <c r="M409" s="120" t="s">
        <v>244</v>
      </c>
      <c r="N409" s="121" t="s">
        <v>244</v>
      </c>
      <c r="O409" s="122" t="s">
        <v>244</v>
      </c>
      <c r="P409" s="123" t="s">
        <v>244</v>
      </c>
      <c r="Q409" s="124"/>
      <c r="R409" s="135"/>
      <c r="S409" s="136"/>
      <c r="T409" s="137"/>
      <c r="U409" s="138" t="s">
        <v>244</v>
      </c>
      <c r="V409" s="138" t="s">
        <v>244</v>
      </c>
      <c r="W409" s="139" t="s">
        <v>244</v>
      </c>
      <c r="X409" s="139" t="s">
        <v>244</v>
      </c>
      <c r="Y409" s="54">
        <v>0</v>
      </c>
    </row>
    <row r="410" spans="2:25" s="49" customFormat="1" ht="15.75" x14ac:dyDescent="0.25">
      <c r="B410" s="133"/>
      <c r="C410" s="134"/>
      <c r="D410" s="113"/>
      <c r="E410" s="114"/>
      <c r="F410" s="173"/>
      <c r="G410" s="116" t="s">
        <v>244</v>
      </c>
      <c r="H410" s="116" t="s">
        <v>244</v>
      </c>
      <c r="I410" s="113"/>
      <c r="J410" s="117" t="s">
        <v>244</v>
      </c>
      <c r="K410" s="118"/>
      <c r="L410" s="119">
        <v>0</v>
      </c>
      <c r="M410" s="120" t="s">
        <v>244</v>
      </c>
      <c r="N410" s="121" t="s">
        <v>244</v>
      </c>
      <c r="O410" s="122" t="s">
        <v>244</v>
      </c>
      <c r="P410" s="123" t="s">
        <v>244</v>
      </c>
      <c r="Q410" s="124"/>
      <c r="R410" s="135"/>
      <c r="S410" s="136"/>
      <c r="T410" s="137"/>
      <c r="U410" s="138" t="s">
        <v>244</v>
      </c>
      <c r="V410" s="138" t="s">
        <v>244</v>
      </c>
      <c r="W410" s="139" t="s">
        <v>244</v>
      </c>
      <c r="X410" s="139" t="s">
        <v>244</v>
      </c>
      <c r="Y410" s="54">
        <v>0</v>
      </c>
    </row>
    <row r="411" spans="2:25" s="49" customFormat="1" ht="15.75" x14ac:dyDescent="0.25">
      <c r="B411" s="133"/>
      <c r="C411" s="134"/>
      <c r="D411" s="113"/>
      <c r="E411" s="114"/>
      <c r="F411" s="173"/>
      <c r="G411" s="116" t="s">
        <v>244</v>
      </c>
      <c r="H411" s="116" t="s">
        <v>244</v>
      </c>
      <c r="I411" s="113"/>
      <c r="J411" s="117" t="s">
        <v>244</v>
      </c>
      <c r="K411" s="118"/>
      <c r="L411" s="119">
        <v>0</v>
      </c>
      <c r="M411" s="120" t="s">
        <v>244</v>
      </c>
      <c r="N411" s="121" t="s">
        <v>244</v>
      </c>
      <c r="O411" s="122" t="s">
        <v>244</v>
      </c>
      <c r="P411" s="123" t="s">
        <v>244</v>
      </c>
      <c r="Q411" s="124"/>
      <c r="R411" s="135"/>
      <c r="S411" s="136"/>
      <c r="T411" s="137"/>
      <c r="U411" s="138" t="s">
        <v>244</v>
      </c>
      <c r="V411" s="138" t="s">
        <v>244</v>
      </c>
      <c r="W411" s="139" t="s">
        <v>244</v>
      </c>
      <c r="X411" s="139" t="s">
        <v>244</v>
      </c>
      <c r="Y411" s="54">
        <v>0</v>
      </c>
    </row>
    <row r="412" spans="2:25" s="49" customFormat="1" ht="15.75" x14ac:dyDescent="0.25">
      <c r="B412" s="133"/>
      <c r="C412" s="134"/>
      <c r="D412" s="113"/>
      <c r="E412" s="114"/>
      <c r="F412" s="173"/>
      <c r="G412" s="116" t="s">
        <v>244</v>
      </c>
      <c r="H412" s="116" t="s">
        <v>244</v>
      </c>
      <c r="I412" s="113"/>
      <c r="J412" s="117" t="s">
        <v>244</v>
      </c>
      <c r="K412" s="118"/>
      <c r="L412" s="119">
        <v>0</v>
      </c>
      <c r="M412" s="120" t="s">
        <v>244</v>
      </c>
      <c r="N412" s="121" t="s">
        <v>244</v>
      </c>
      <c r="O412" s="122" t="s">
        <v>244</v>
      </c>
      <c r="P412" s="123" t="s">
        <v>244</v>
      </c>
      <c r="Q412" s="124"/>
      <c r="R412" s="135"/>
      <c r="S412" s="136"/>
      <c r="T412" s="137"/>
      <c r="U412" s="138" t="s">
        <v>244</v>
      </c>
      <c r="V412" s="138" t="s">
        <v>244</v>
      </c>
      <c r="W412" s="139" t="s">
        <v>244</v>
      </c>
      <c r="X412" s="139" t="s">
        <v>244</v>
      </c>
      <c r="Y412" s="54">
        <v>0</v>
      </c>
    </row>
    <row r="413" spans="2:25" s="49" customFormat="1" ht="15.75" x14ac:dyDescent="0.25">
      <c r="B413" s="133"/>
      <c r="C413" s="134"/>
      <c r="D413" s="113"/>
      <c r="E413" s="114"/>
      <c r="F413" s="173"/>
      <c r="G413" s="116" t="s">
        <v>244</v>
      </c>
      <c r="H413" s="116" t="s">
        <v>244</v>
      </c>
      <c r="I413" s="113"/>
      <c r="J413" s="117" t="s">
        <v>244</v>
      </c>
      <c r="K413" s="118"/>
      <c r="L413" s="119">
        <v>0</v>
      </c>
      <c r="M413" s="120" t="s">
        <v>244</v>
      </c>
      <c r="N413" s="121" t="s">
        <v>244</v>
      </c>
      <c r="O413" s="122" t="s">
        <v>244</v>
      </c>
      <c r="P413" s="123" t="s">
        <v>244</v>
      </c>
      <c r="Q413" s="124"/>
      <c r="R413" s="135"/>
      <c r="S413" s="136"/>
      <c r="T413" s="137"/>
      <c r="U413" s="138" t="s">
        <v>244</v>
      </c>
      <c r="V413" s="138" t="s">
        <v>244</v>
      </c>
      <c r="W413" s="139" t="s">
        <v>244</v>
      </c>
      <c r="X413" s="139" t="s">
        <v>244</v>
      </c>
      <c r="Y413" s="54">
        <v>0</v>
      </c>
    </row>
    <row r="414" spans="2:25" s="49" customFormat="1" ht="15.75" x14ac:dyDescent="0.25">
      <c r="B414" s="133"/>
      <c r="C414" s="134"/>
      <c r="D414" s="113"/>
      <c r="E414" s="114"/>
      <c r="F414" s="173"/>
      <c r="G414" s="116" t="s">
        <v>244</v>
      </c>
      <c r="H414" s="116" t="s">
        <v>244</v>
      </c>
      <c r="I414" s="113"/>
      <c r="J414" s="117" t="s">
        <v>244</v>
      </c>
      <c r="K414" s="118"/>
      <c r="L414" s="119">
        <v>0</v>
      </c>
      <c r="M414" s="120" t="s">
        <v>244</v>
      </c>
      <c r="N414" s="121" t="s">
        <v>244</v>
      </c>
      <c r="O414" s="122" t="s">
        <v>244</v>
      </c>
      <c r="P414" s="123" t="s">
        <v>244</v>
      </c>
      <c r="Q414" s="124"/>
      <c r="R414" s="135"/>
      <c r="S414" s="136"/>
      <c r="T414" s="137"/>
      <c r="U414" s="138" t="s">
        <v>244</v>
      </c>
      <c r="V414" s="138" t="s">
        <v>244</v>
      </c>
      <c r="W414" s="139" t="s">
        <v>244</v>
      </c>
      <c r="X414" s="139" t="s">
        <v>244</v>
      </c>
      <c r="Y414" s="54">
        <v>0</v>
      </c>
    </row>
    <row r="415" spans="2:25" s="49" customFormat="1" ht="15.75" x14ac:dyDescent="0.25">
      <c r="B415" s="133"/>
      <c r="C415" s="134"/>
      <c r="D415" s="113"/>
      <c r="E415" s="114"/>
      <c r="F415" s="173"/>
      <c r="G415" s="116" t="s">
        <v>244</v>
      </c>
      <c r="H415" s="116" t="s">
        <v>244</v>
      </c>
      <c r="I415" s="113"/>
      <c r="J415" s="117" t="s">
        <v>244</v>
      </c>
      <c r="K415" s="118"/>
      <c r="L415" s="119">
        <v>0</v>
      </c>
      <c r="M415" s="120" t="s">
        <v>244</v>
      </c>
      <c r="N415" s="121" t="s">
        <v>244</v>
      </c>
      <c r="O415" s="122" t="s">
        <v>244</v>
      </c>
      <c r="P415" s="123" t="s">
        <v>244</v>
      </c>
      <c r="Q415" s="124"/>
      <c r="R415" s="135"/>
      <c r="S415" s="136"/>
      <c r="T415" s="137"/>
      <c r="U415" s="138" t="s">
        <v>244</v>
      </c>
      <c r="V415" s="138" t="s">
        <v>244</v>
      </c>
      <c r="W415" s="139" t="s">
        <v>244</v>
      </c>
      <c r="X415" s="139" t="s">
        <v>244</v>
      </c>
      <c r="Y415" s="54">
        <v>0</v>
      </c>
    </row>
    <row r="416" spans="2:25" s="49" customFormat="1" ht="15.75" x14ac:dyDescent="0.25">
      <c r="B416" s="133"/>
      <c r="C416" s="134"/>
      <c r="D416" s="113"/>
      <c r="E416" s="114"/>
      <c r="F416" s="173"/>
      <c r="G416" s="116" t="s">
        <v>244</v>
      </c>
      <c r="H416" s="116" t="s">
        <v>244</v>
      </c>
      <c r="I416" s="113"/>
      <c r="J416" s="117" t="s">
        <v>244</v>
      </c>
      <c r="K416" s="118"/>
      <c r="L416" s="119">
        <v>0</v>
      </c>
      <c r="M416" s="120" t="s">
        <v>244</v>
      </c>
      <c r="N416" s="121" t="s">
        <v>244</v>
      </c>
      <c r="O416" s="122" t="s">
        <v>244</v>
      </c>
      <c r="P416" s="123" t="s">
        <v>244</v>
      </c>
      <c r="Q416" s="124"/>
      <c r="R416" s="135"/>
      <c r="S416" s="136"/>
      <c r="T416" s="137"/>
      <c r="U416" s="138" t="s">
        <v>244</v>
      </c>
      <c r="V416" s="138" t="s">
        <v>244</v>
      </c>
      <c r="W416" s="139" t="s">
        <v>244</v>
      </c>
      <c r="X416" s="139" t="s">
        <v>244</v>
      </c>
      <c r="Y416" s="54">
        <v>0</v>
      </c>
    </row>
    <row r="417" spans="2:25" s="49" customFormat="1" ht="15.75" x14ac:dyDescent="0.25">
      <c r="B417" s="133"/>
      <c r="C417" s="134"/>
      <c r="D417" s="113"/>
      <c r="E417" s="114"/>
      <c r="F417" s="173"/>
      <c r="G417" s="116" t="s">
        <v>244</v>
      </c>
      <c r="H417" s="116" t="s">
        <v>244</v>
      </c>
      <c r="I417" s="113"/>
      <c r="J417" s="117" t="s">
        <v>244</v>
      </c>
      <c r="K417" s="118"/>
      <c r="L417" s="119">
        <v>0</v>
      </c>
      <c r="M417" s="120" t="s">
        <v>244</v>
      </c>
      <c r="N417" s="121" t="s">
        <v>244</v>
      </c>
      <c r="O417" s="122" t="s">
        <v>244</v>
      </c>
      <c r="P417" s="123" t="s">
        <v>244</v>
      </c>
      <c r="Q417" s="124"/>
      <c r="R417" s="135"/>
      <c r="S417" s="136"/>
      <c r="T417" s="137"/>
      <c r="U417" s="138" t="s">
        <v>244</v>
      </c>
      <c r="V417" s="138" t="s">
        <v>244</v>
      </c>
      <c r="W417" s="139" t="s">
        <v>244</v>
      </c>
      <c r="X417" s="139" t="s">
        <v>244</v>
      </c>
      <c r="Y417" s="54">
        <v>0</v>
      </c>
    </row>
    <row r="418" spans="2:25" s="49" customFormat="1" ht="15.75" x14ac:dyDescent="0.25">
      <c r="B418" s="133"/>
      <c r="C418" s="134"/>
      <c r="D418" s="113"/>
      <c r="E418" s="114"/>
      <c r="F418" s="173"/>
      <c r="G418" s="116" t="s">
        <v>244</v>
      </c>
      <c r="H418" s="116" t="s">
        <v>244</v>
      </c>
      <c r="I418" s="113"/>
      <c r="J418" s="117" t="s">
        <v>244</v>
      </c>
      <c r="K418" s="118"/>
      <c r="L418" s="119">
        <v>0</v>
      </c>
      <c r="M418" s="120" t="s">
        <v>244</v>
      </c>
      <c r="N418" s="121" t="s">
        <v>244</v>
      </c>
      <c r="O418" s="122" t="s">
        <v>244</v>
      </c>
      <c r="P418" s="123" t="s">
        <v>244</v>
      </c>
      <c r="Q418" s="124"/>
      <c r="R418" s="135"/>
      <c r="S418" s="136"/>
      <c r="T418" s="137"/>
      <c r="U418" s="138" t="s">
        <v>244</v>
      </c>
      <c r="V418" s="138" t="s">
        <v>244</v>
      </c>
      <c r="W418" s="139" t="s">
        <v>244</v>
      </c>
      <c r="X418" s="139" t="s">
        <v>244</v>
      </c>
      <c r="Y418" s="54">
        <v>0</v>
      </c>
    </row>
    <row r="419" spans="2:25" s="49" customFormat="1" ht="15.75" x14ac:dyDescent="0.25">
      <c r="B419" s="133"/>
      <c r="C419" s="134"/>
      <c r="D419" s="113"/>
      <c r="E419" s="114"/>
      <c r="F419" s="173"/>
      <c r="G419" s="116" t="s">
        <v>244</v>
      </c>
      <c r="H419" s="116" t="s">
        <v>244</v>
      </c>
      <c r="I419" s="113"/>
      <c r="J419" s="117" t="s">
        <v>244</v>
      </c>
      <c r="K419" s="118"/>
      <c r="L419" s="119">
        <v>0</v>
      </c>
      <c r="M419" s="120" t="s">
        <v>244</v>
      </c>
      <c r="N419" s="121" t="s">
        <v>244</v>
      </c>
      <c r="O419" s="122" t="s">
        <v>244</v>
      </c>
      <c r="P419" s="123" t="s">
        <v>244</v>
      </c>
      <c r="Q419" s="124"/>
      <c r="R419" s="135"/>
      <c r="S419" s="136"/>
      <c r="T419" s="137"/>
      <c r="U419" s="138" t="s">
        <v>244</v>
      </c>
      <c r="V419" s="138" t="s">
        <v>244</v>
      </c>
      <c r="W419" s="139" t="s">
        <v>244</v>
      </c>
      <c r="X419" s="139" t="s">
        <v>244</v>
      </c>
      <c r="Y419" s="54">
        <v>0</v>
      </c>
    </row>
    <row r="420" spans="2:25" s="49" customFormat="1" ht="15.75" x14ac:dyDescent="0.25">
      <c r="B420" s="133"/>
      <c r="C420" s="134"/>
      <c r="D420" s="113"/>
      <c r="E420" s="114"/>
      <c r="F420" s="173"/>
      <c r="G420" s="116" t="s">
        <v>244</v>
      </c>
      <c r="H420" s="116" t="s">
        <v>244</v>
      </c>
      <c r="I420" s="113"/>
      <c r="J420" s="117" t="s">
        <v>244</v>
      </c>
      <c r="K420" s="118"/>
      <c r="L420" s="119">
        <v>0</v>
      </c>
      <c r="M420" s="120" t="s">
        <v>244</v>
      </c>
      <c r="N420" s="121" t="s">
        <v>244</v>
      </c>
      <c r="O420" s="122" t="s">
        <v>244</v>
      </c>
      <c r="P420" s="123" t="s">
        <v>244</v>
      </c>
      <c r="Q420" s="124"/>
      <c r="R420" s="135"/>
      <c r="S420" s="136"/>
      <c r="T420" s="137"/>
      <c r="U420" s="138" t="s">
        <v>244</v>
      </c>
      <c r="V420" s="138" t="s">
        <v>244</v>
      </c>
      <c r="W420" s="139" t="s">
        <v>244</v>
      </c>
      <c r="X420" s="139" t="s">
        <v>244</v>
      </c>
      <c r="Y420" s="54">
        <v>0</v>
      </c>
    </row>
    <row r="421" spans="2:25" s="49" customFormat="1" ht="15.75" x14ac:dyDescent="0.25">
      <c r="B421" s="133"/>
      <c r="C421" s="134"/>
      <c r="D421" s="113"/>
      <c r="E421" s="114"/>
      <c r="F421" s="173"/>
      <c r="G421" s="116" t="s">
        <v>244</v>
      </c>
      <c r="H421" s="116" t="s">
        <v>244</v>
      </c>
      <c r="I421" s="113"/>
      <c r="J421" s="117" t="s">
        <v>244</v>
      </c>
      <c r="K421" s="118"/>
      <c r="L421" s="119">
        <v>0</v>
      </c>
      <c r="M421" s="120" t="s">
        <v>244</v>
      </c>
      <c r="N421" s="121" t="s">
        <v>244</v>
      </c>
      <c r="O421" s="122" t="s">
        <v>244</v>
      </c>
      <c r="P421" s="123" t="s">
        <v>244</v>
      </c>
      <c r="Q421" s="124"/>
      <c r="R421" s="135"/>
      <c r="S421" s="136"/>
      <c r="T421" s="137"/>
      <c r="U421" s="138" t="s">
        <v>244</v>
      </c>
      <c r="V421" s="138" t="s">
        <v>244</v>
      </c>
      <c r="W421" s="139" t="s">
        <v>244</v>
      </c>
      <c r="X421" s="139" t="s">
        <v>244</v>
      </c>
      <c r="Y421" s="54">
        <v>0</v>
      </c>
    </row>
    <row r="422" spans="2:25" s="49" customFormat="1" ht="15.75" x14ac:dyDescent="0.25">
      <c r="B422" s="133"/>
      <c r="C422" s="134"/>
      <c r="D422" s="113"/>
      <c r="E422" s="114"/>
      <c r="F422" s="173"/>
      <c r="G422" s="116" t="s">
        <v>244</v>
      </c>
      <c r="H422" s="116" t="s">
        <v>244</v>
      </c>
      <c r="I422" s="113"/>
      <c r="J422" s="117" t="s">
        <v>244</v>
      </c>
      <c r="K422" s="118"/>
      <c r="L422" s="119">
        <v>0</v>
      </c>
      <c r="M422" s="120" t="s">
        <v>244</v>
      </c>
      <c r="N422" s="121" t="s">
        <v>244</v>
      </c>
      <c r="O422" s="122" t="s">
        <v>244</v>
      </c>
      <c r="P422" s="123" t="s">
        <v>244</v>
      </c>
      <c r="Q422" s="124"/>
      <c r="R422" s="135"/>
      <c r="S422" s="136"/>
      <c r="T422" s="137"/>
      <c r="U422" s="138" t="s">
        <v>244</v>
      </c>
      <c r="V422" s="138" t="s">
        <v>244</v>
      </c>
      <c r="W422" s="139" t="s">
        <v>244</v>
      </c>
      <c r="X422" s="139" t="s">
        <v>244</v>
      </c>
      <c r="Y422" s="54">
        <v>0</v>
      </c>
    </row>
    <row r="423" spans="2:25" s="49" customFormat="1" ht="15.75" x14ac:dyDescent="0.25">
      <c r="B423" s="133"/>
      <c r="C423" s="134"/>
      <c r="D423" s="113"/>
      <c r="E423" s="114"/>
      <c r="F423" s="173"/>
      <c r="G423" s="116" t="s">
        <v>244</v>
      </c>
      <c r="H423" s="116" t="s">
        <v>244</v>
      </c>
      <c r="I423" s="113"/>
      <c r="J423" s="117" t="s">
        <v>244</v>
      </c>
      <c r="K423" s="118"/>
      <c r="L423" s="119">
        <v>0</v>
      </c>
      <c r="M423" s="120" t="s">
        <v>244</v>
      </c>
      <c r="N423" s="121" t="s">
        <v>244</v>
      </c>
      <c r="O423" s="122" t="s">
        <v>244</v>
      </c>
      <c r="P423" s="123" t="s">
        <v>244</v>
      </c>
      <c r="Q423" s="124"/>
      <c r="R423" s="135"/>
      <c r="S423" s="136"/>
      <c r="T423" s="137"/>
      <c r="U423" s="138" t="s">
        <v>244</v>
      </c>
      <c r="V423" s="138" t="s">
        <v>244</v>
      </c>
      <c r="W423" s="139" t="s">
        <v>244</v>
      </c>
      <c r="X423" s="139" t="s">
        <v>244</v>
      </c>
      <c r="Y423" s="54">
        <v>0</v>
      </c>
    </row>
    <row r="424" spans="2:25" s="49" customFormat="1" ht="15.75" x14ac:dyDescent="0.25">
      <c r="B424" s="133"/>
      <c r="C424" s="134"/>
      <c r="D424" s="113"/>
      <c r="E424" s="114"/>
      <c r="F424" s="173"/>
      <c r="G424" s="116" t="s">
        <v>244</v>
      </c>
      <c r="H424" s="116" t="s">
        <v>244</v>
      </c>
      <c r="I424" s="113"/>
      <c r="J424" s="117" t="s">
        <v>244</v>
      </c>
      <c r="K424" s="118"/>
      <c r="L424" s="119">
        <v>0</v>
      </c>
      <c r="M424" s="120" t="s">
        <v>244</v>
      </c>
      <c r="N424" s="121" t="s">
        <v>244</v>
      </c>
      <c r="O424" s="122" t="s">
        <v>244</v>
      </c>
      <c r="P424" s="123" t="s">
        <v>244</v>
      </c>
      <c r="Q424" s="124"/>
      <c r="R424" s="135"/>
      <c r="S424" s="136"/>
      <c r="T424" s="137"/>
      <c r="U424" s="138" t="s">
        <v>244</v>
      </c>
      <c r="V424" s="138" t="s">
        <v>244</v>
      </c>
      <c r="W424" s="139" t="s">
        <v>244</v>
      </c>
      <c r="X424" s="139" t="s">
        <v>244</v>
      </c>
      <c r="Y424" s="54">
        <v>0</v>
      </c>
    </row>
    <row r="425" spans="2:25" s="49" customFormat="1" ht="15.75" x14ac:dyDescent="0.25">
      <c r="B425" s="133"/>
      <c r="C425" s="134"/>
      <c r="D425" s="113"/>
      <c r="E425" s="114"/>
      <c r="F425" s="173"/>
      <c r="G425" s="116" t="s">
        <v>244</v>
      </c>
      <c r="H425" s="116" t="s">
        <v>244</v>
      </c>
      <c r="I425" s="113"/>
      <c r="J425" s="117" t="s">
        <v>244</v>
      </c>
      <c r="K425" s="118"/>
      <c r="L425" s="119">
        <v>0</v>
      </c>
      <c r="M425" s="120" t="s">
        <v>244</v>
      </c>
      <c r="N425" s="121" t="s">
        <v>244</v>
      </c>
      <c r="O425" s="122" t="s">
        <v>244</v>
      </c>
      <c r="P425" s="123" t="s">
        <v>244</v>
      </c>
      <c r="Q425" s="124"/>
      <c r="R425" s="135"/>
      <c r="S425" s="136"/>
      <c r="T425" s="137"/>
      <c r="U425" s="138" t="s">
        <v>244</v>
      </c>
      <c r="V425" s="138" t="s">
        <v>244</v>
      </c>
      <c r="W425" s="139" t="s">
        <v>244</v>
      </c>
      <c r="X425" s="139" t="s">
        <v>244</v>
      </c>
      <c r="Y425" s="54">
        <v>0</v>
      </c>
    </row>
    <row r="426" spans="2:25" s="49" customFormat="1" ht="15.75" x14ac:dyDescent="0.25">
      <c r="B426" s="133"/>
      <c r="C426" s="134"/>
      <c r="D426" s="113"/>
      <c r="E426" s="114"/>
      <c r="F426" s="173"/>
      <c r="G426" s="116" t="s">
        <v>244</v>
      </c>
      <c r="H426" s="116" t="s">
        <v>244</v>
      </c>
      <c r="I426" s="113"/>
      <c r="J426" s="117" t="s">
        <v>244</v>
      </c>
      <c r="K426" s="118"/>
      <c r="L426" s="119">
        <v>0</v>
      </c>
      <c r="M426" s="120" t="s">
        <v>244</v>
      </c>
      <c r="N426" s="121" t="s">
        <v>244</v>
      </c>
      <c r="O426" s="122" t="s">
        <v>244</v>
      </c>
      <c r="P426" s="123" t="s">
        <v>244</v>
      </c>
      <c r="Q426" s="124"/>
      <c r="R426" s="135"/>
      <c r="S426" s="136"/>
      <c r="T426" s="137"/>
      <c r="U426" s="138" t="s">
        <v>244</v>
      </c>
      <c r="V426" s="138" t="s">
        <v>244</v>
      </c>
      <c r="W426" s="139" t="s">
        <v>244</v>
      </c>
      <c r="X426" s="139" t="s">
        <v>244</v>
      </c>
      <c r="Y426" s="54">
        <v>0</v>
      </c>
    </row>
    <row r="427" spans="2:25" s="49" customFormat="1" ht="15.75" x14ac:dyDescent="0.25">
      <c r="B427" s="133"/>
      <c r="C427" s="134"/>
      <c r="D427" s="113"/>
      <c r="E427" s="114"/>
      <c r="F427" s="173"/>
      <c r="G427" s="116" t="s">
        <v>244</v>
      </c>
      <c r="H427" s="116" t="s">
        <v>244</v>
      </c>
      <c r="I427" s="113"/>
      <c r="J427" s="117" t="s">
        <v>244</v>
      </c>
      <c r="K427" s="118"/>
      <c r="L427" s="119">
        <v>0</v>
      </c>
      <c r="M427" s="120" t="s">
        <v>244</v>
      </c>
      <c r="N427" s="121" t="s">
        <v>244</v>
      </c>
      <c r="O427" s="122" t="s">
        <v>244</v>
      </c>
      <c r="P427" s="123" t="s">
        <v>244</v>
      </c>
      <c r="Q427" s="124"/>
      <c r="R427" s="135"/>
      <c r="S427" s="136"/>
      <c r="T427" s="137"/>
      <c r="U427" s="138" t="s">
        <v>244</v>
      </c>
      <c r="V427" s="138" t="s">
        <v>244</v>
      </c>
      <c r="W427" s="139" t="s">
        <v>244</v>
      </c>
      <c r="X427" s="139" t="s">
        <v>244</v>
      </c>
      <c r="Y427" s="54">
        <v>0</v>
      </c>
    </row>
    <row r="428" spans="2:25" s="49" customFormat="1" ht="15.75" x14ac:dyDescent="0.25">
      <c r="B428" s="133"/>
      <c r="C428" s="134"/>
      <c r="D428" s="113"/>
      <c r="E428" s="114"/>
      <c r="F428" s="173"/>
      <c r="G428" s="116" t="s">
        <v>244</v>
      </c>
      <c r="H428" s="116" t="s">
        <v>244</v>
      </c>
      <c r="I428" s="113"/>
      <c r="J428" s="117" t="s">
        <v>244</v>
      </c>
      <c r="K428" s="118"/>
      <c r="L428" s="119">
        <v>0</v>
      </c>
      <c r="M428" s="120" t="s">
        <v>244</v>
      </c>
      <c r="N428" s="121" t="s">
        <v>244</v>
      </c>
      <c r="O428" s="122" t="s">
        <v>244</v>
      </c>
      <c r="P428" s="123" t="s">
        <v>244</v>
      </c>
      <c r="Q428" s="124"/>
      <c r="R428" s="135"/>
      <c r="S428" s="136"/>
      <c r="T428" s="137"/>
      <c r="U428" s="138" t="s">
        <v>244</v>
      </c>
      <c r="V428" s="138" t="s">
        <v>244</v>
      </c>
      <c r="W428" s="139" t="s">
        <v>244</v>
      </c>
      <c r="X428" s="139" t="s">
        <v>244</v>
      </c>
      <c r="Y428" s="54">
        <v>0</v>
      </c>
    </row>
    <row r="429" spans="2:25" s="49" customFormat="1" ht="15.75" x14ac:dyDescent="0.25">
      <c r="B429" s="133"/>
      <c r="C429" s="134"/>
      <c r="D429" s="113"/>
      <c r="E429" s="114"/>
      <c r="F429" s="173"/>
      <c r="G429" s="116" t="s">
        <v>244</v>
      </c>
      <c r="H429" s="116" t="s">
        <v>244</v>
      </c>
      <c r="I429" s="113"/>
      <c r="J429" s="117" t="s">
        <v>244</v>
      </c>
      <c r="K429" s="118"/>
      <c r="L429" s="119">
        <v>0</v>
      </c>
      <c r="M429" s="120" t="s">
        <v>244</v>
      </c>
      <c r="N429" s="121" t="s">
        <v>244</v>
      </c>
      <c r="O429" s="122" t="s">
        <v>244</v>
      </c>
      <c r="P429" s="123" t="s">
        <v>244</v>
      </c>
      <c r="Q429" s="124"/>
      <c r="R429" s="135"/>
      <c r="S429" s="136"/>
      <c r="T429" s="137"/>
      <c r="U429" s="138" t="s">
        <v>244</v>
      </c>
      <c r="V429" s="138" t="s">
        <v>244</v>
      </c>
      <c r="W429" s="139" t="s">
        <v>244</v>
      </c>
      <c r="X429" s="139" t="s">
        <v>244</v>
      </c>
      <c r="Y429" s="54">
        <v>0</v>
      </c>
    </row>
    <row r="430" spans="2:25" s="49" customFormat="1" ht="15.75" x14ac:dyDescent="0.25">
      <c r="B430" s="133"/>
      <c r="C430" s="134"/>
      <c r="D430" s="113"/>
      <c r="E430" s="114"/>
      <c r="F430" s="173"/>
      <c r="G430" s="116" t="s">
        <v>244</v>
      </c>
      <c r="H430" s="116" t="s">
        <v>244</v>
      </c>
      <c r="I430" s="113"/>
      <c r="J430" s="117" t="s">
        <v>244</v>
      </c>
      <c r="K430" s="118"/>
      <c r="L430" s="119">
        <v>0</v>
      </c>
      <c r="M430" s="120" t="s">
        <v>244</v>
      </c>
      <c r="N430" s="121" t="s">
        <v>244</v>
      </c>
      <c r="O430" s="122" t="s">
        <v>244</v>
      </c>
      <c r="P430" s="123" t="s">
        <v>244</v>
      </c>
      <c r="Q430" s="124"/>
      <c r="R430" s="135"/>
      <c r="S430" s="136"/>
      <c r="T430" s="137"/>
      <c r="U430" s="138" t="s">
        <v>244</v>
      </c>
      <c r="V430" s="138" t="s">
        <v>244</v>
      </c>
      <c r="W430" s="139" t="s">
        <v>244</v>
      </c>
      <c r="X430" s="139" t="s">
        <v>244</v>
      </c>
      <c r="Y430" s="54">
        <v>0</v>
      </c>
    </row>
    <row r="431" spans="2:25" s="49" customFormat="1" ht="15.75" x14ac:dyDescent="0.25">
      <c r="B431" s="133"/>
      <c r="C431" s="134"/>
      <c r="D431" s="113"/>
      <c r="E431" s="114"/>
      <c r="F431" s="173"/>
      <c r="G431" s="116" t="s">
        <v>244</v>
      </c>
      <c r="H431" s="116" t="s">
        <v>244</v>
      </c>
      <c r="I431" s="113"/>
      <c r="J431" s="117" t="s">
        <v>244</v>
      </c>
      <c r="K431" s="118"/>
      <c r="L431" s="119">
        <v>0</v>
      </c>
      <c r="M431" s="120" t="s">
        <v>244</v>
      </c>
      <c r="N431" s="121" t="s">
        <v>244</v>
      </c>
      <c r="O431" s="122" t="s">
        <v>244</v>
      </c>
      <c r="P431" s="123" t="s">
        <v>244</v>
      </c>
      <c r="Q431" s="124"/>
      <c r="R431" s="135"/>
      <c r="S431" s="136"/>
      <c r="T431" s="137"/>
      <c r="U431" s="138" t="s">
        <v>244</v>
      </c>
      <c r="V431" s="138" t="s">
        <v>244</v>
      </c>
      <c r="W431" s="139" t="s">
        <v>244</v>
      </c>
      <c r="X431" s="139" t="s">
        <v>244</v>
      </c>
      <c r="Y431" s="54">
        <v>0</v>
      </c>
    </row>
    <row r="432" spans="2:25" s="49" customFormat="1" ht="15.75" x14ac:dyDescent="0.25">
      <c r="B432" s="133"/>
      <c r="C432" s="134"/>
      <c r="D432" s="113"/>
      <c r="E432" s="114"/>
      <c r="F432" s="173"/>
      <c r="G432" s="116" t="s">
        <v>244</v>
      </c>
      <c r="H432" s="116" t="s">
        <v>244</v>
      </c>
      <c r="I432" s="113"/>
      <c r="J432" s="117" t="s">
        <v>244</v>
      </c>
      <c r="K432" s="118"/>
      <c r="L432" s="119">
        <v>0</v>
      </c>
      <c r="M432" s="120" t="s">
        <v>244</v>
      </c>
      <c r="N432" s="121" t="s">
        <v>244</v>
      </c>
      <c r="O432" s="122" t="s">
        <v>244</v>
      </c>
      <c r="P432" s="123" t="s">
        <v>244</v>
      </c>
      <c r="Q432" s="124"/>
      <c r="R432" s="135"/>
      <c r="S432" s="136"/>
      <c r="T432" s="137"/>
      <c r="U432" s="138" t="s">
        <v>244</v>
      </c>
      <c r="V432" s="138" t="s">
        <v>244</v>
      </c>
      <c r="W432" s="139" t="s">
        <v>244</v>
      </c>
      <c r="X432" s="139" t="s">
        <v>244</v>
      </c>
      <c r="Y432" s="54">
        <v>0</v>
      </c>
    </row>
    <row r="433" spans="2:25" s="49" customFormat="1" ht="15.75" x14ac:dyDescent="0.25">
      <c r="B433" s="133"/>
      <c r="C433" s="134"/>
      <c r="D433" s="113"/>
      <c r="E433" s="114"/>
      <c r="F433" s="173"/>
      <c r="G433" s="116" t="s">
        <v>244</v>
      </c>
      <c r="H433" s="116" t="s">
        <v>244</v>
      </c>
      <c r="I433" s="113"/>
      <c r="J433" s="117" t="s">
        <v>244</v>
      </c>
      <c r="K433" s="118"/>
      <c r="L433" s="119">
        <v>0</v>
      </c>
      <c r="M433" s="120" t="s">
        <v>244</v>
      </c>
      <c r="N433" s="121" t="s">
        <v>244</v>
      </c>
      <c r="O433" s="122" t="s">
        <v>244</v>
      </c>
      <c r="P433" s="123" t="s">
        <v>244</v>
      </c>
      <c r="Q433" s="124"/>
      <c r="R433" s="135"/>
      <c r="S433" s="136"/>
      <c r="T433" s="137"/>
      <c r="U433" s="138" t="s">
        <v>244</v>
      </c>
      <c r="V433" s="138" t="s">
        <v>244</v>
      </c>
      <c r="W433" s="139" t="s">
        <v>244</v>
      </c>
      <c r="X433" s="139" t="s">
        <v>244</v>
      </c>
      <c r="Y433" s="54">
        <v>0</v>
      </c>
    </row>
    <row r="434" spans="2:25" s="49" customFormat="1" ht="15.75" x14ac:dyDescent="0.25">
      <c r="B434" s="133"/>
      <c r="C434" s="134"/>
      <c r="D434" s="113"/>
      <c r="E434" s="114"/>
      <c r="F434" s="173"/>
      <c r="G434" s="116" t="s">
        <v>244</v>
      </c>
      <c r="H434" s="116" t="s">
        <v>244</v>
      </c>
      <c r="I434" s="113"/>
      <c r="J434" s="117" t="s">
        <v>244</v>
      </c>
      <c r="K434" s="118"/>
      <c r="L434" s="119">
        <v>0</v>
      </c>
      <c r="M434" s="120" t="s">
        <v>244</v>
      </c>
      <c r="N434" s="121" t="s">
        <v>244</v>
      </c>
      <c r="O434" s="122" t="s">
        <v>244</v>
      </c>
      <c r="P434" s="123" t="s">
        <v>244</v>
      </c>
      <c r="Q434" s="124"/>
      <c r="R434" s="135"/>
      <c r="S434" s="136"/>
      <c r="T434" s="137"/>
      <c r="U434" s="138" t="s">
        <v>244</v>
      </c>
      <c r="V434" s="138" t="s">
        <v>244</v>
      </c>
      <c r="W434" s="139" t="s">
        <v>244</v>
      </c>
      <c r="X434" s="139" t="s">
        <v>244</v>
      </c>
      <c r="Y434" s="54">
        <v>0</v>
      </c>
    </row>
    <row r="435" spans="2:25" s="49" customFormat="1" ht="15.75" x14ac:dyDescent="0.25">
      <c r="B435" s="133"/>
      <c r="C435" s="134"/>
      <c r="D435" s="113"/>
      <c r="E435" s="114"/>
      <c r="F435" s="173"/>
      <c r="G435" s="116" t="s">
        <v>244</v>
      </c>
      <c r="H435" s="116" t="s">
        <v>244</v>
      </c>
      <c r="I435" s="113"/>
      <c r="J435" s="117" t="s">
        <v>244</v>
      </c>
      <c r="K435" s="118"/>
      <c r="L435" s="119">
        <v>0</v>
      </c>
      <c r="M435" s="120" t="s">
        <v>244</v>
      </c>
      <c r="N435" s="121" t="s">
        <v>244</v>
      </c>
      <c r="O435" s="122" t="s">
        <v>244</v>
      </c>
      <c r="P435" s="123" t="s">
        <v>244</v>
      </c>
      <c r="Q435" s="124"/>
      <c r="R435" s="135"/>
      <c r="S435" s="136"/>
      <c r="T435" s="137"/>
      <c r="U435" s="138" t="s">
        <v>244</v>
      </c>
      <c r="V435" s="138" t="s">
        <v>244</v>
      </c>
      <c r="W435" s="139" t="s">
        <v>244</v>
      </c>
      <c r="X435" s="139" t="s">
        <v>244</v>
      </c>
      <c r="Y435" s="54">
        <v>0</v>
      </c>
    </row>
    <row r="436" spans="2:25" s="49" customFormat="1" ht="15.75" x14ac:dyDescent="0.25">
      <c r="B436" s="133"/>
      <c r="C436" s="134"/>
      <c r="D436" s="113"/>
      <c r="E436" s="114"/>
      <c r="F436" s="173"/>
      <c r="G436" s="116" t="s">
        <v>244</v>
      </c>
      <c r="H436" s="116" t="s">
        <v>244</v>
      </c>
      <c r="I436" s="113"/>
      <c r="J436" s="117" t="s">
        <v>244</v>
      </c>
      <c r="K436" s="118"/>
      <c r="L436" s="119">
        <v>0</v>
      </c>
      <c r="M436" s="120" t="s">
        <v>244</v>
      </c>
      <c r="N436" s="121" t="s">
        <v>244</v>
      </c>
      <c r="O436" s="122" t="s">
        <v>244</v>
      </c>
      <c r="P436" s="123" t="s">
        <v>244</v>
      </c>
      <c r="Q436" s="124"/>
      <c r="R436" s="135"/>
      <c r="S436" s="136"/>
      <c r="T436" s="137"/>
      <c r="U436" s="138" t="s">
        <v>244</v>
      </c>
      <c r="V436" s="138" t="s">
        <v>244</v>
      </c>
      <c r="W436" s="139" t="s">
        <v>244</v>
      </c>
      <c r="X436" s="139" t="s">
        <v>244</v>
      </c>
      <c r="Y436" s="54">
        <v>0</v>
      </c>
    </row>
    <row r="437" spans="2:25" s="49" customFormat="1" ht="15.75" x14ac:dyDescent="0.25">
      <c r="B437" s="133"/>
      <c r="C437" s="134"/>
      <c r="D437" s="113"/>
      <c r="E437" s="114"/>
      <c r="F437" s="173"/>
      <c r="G437" s="116" t="s">
        <v>244</v>
      </c>
      <c r="H437" s="116" t="s">
        <v>244</v>
      </c>
      <c r="I437" s="113"/>
      <c r="J437" s="117" t="s">
        <v>244</v>
      </c>
      <c r="K437" s="118"/>
      <c r="L437" s="119">
        <v>0</v>
      </c>
      <c r="M437" s="120" t="s">
        <v>244</v>
      </c>
      <c r="N437" s="121" t="s">
        <v>244</v>
      </c>
      <c r="O437" s="122" t="s">
        <v>244</v>
      </c>
      <c r="P437" s="123" t="s">
        <v>244</v>
      </c>
      <c r="Q437" s="124"/>
      <c r="R437" s="135"/>
      <c r="S437" s="136"/>
      <c r="T437" s="137"/>
      <c r="U437" s="138" t="s">
        <v>244</v>
      </c>
      <c r="V437" s="138" t="s">
        <v>244</v>
      </c>
      <c r="W437" s="139" t="s">
        <v>244</v>
      </c>
      <c r="X437" s="139" t="s">
        <v>244</v>
      </c>
      <c r="Y437" s="54">
        <v>0</v>
      </c>
    </row>
    <row r="438" spans="2:25" s="49" customFormat="1" ht="15.75" x14ac:dyDescent="0.25">
      <c r="B438" s="133"/>
      <c r="C438" s="134"/>
      <c r="D438" s="113"/>
      <c r="E438" s="114"/>
      <c r="F438" s="173"/>
      <c r="G438" s="116" t="s">
        <v>244</v>
      </c>
      <c r="H438" s="116" t="s">
        <v>244</v>
      </c>
      <c r="I438" s="113"/>
      <c r="J438" s="117" t="s">
        <v>244</v>
      </c>
      <c r="K438" s="118"/>
      <c r="L438" s="119">
        <v>0</v>
      </c>
      <c r="M438" s="120" t="s">
        <v>244</v>
      </c>
      <c r="N438" s="121" t="s">
        <v>244</v>
      </c>
      <c r="O438" s="122" t="s">
        <v>244</v>
      </c>
      <c r="P438" s="123" t="s">
        <v>244</v>
      </c>
      <c r="Q438" s="124"/>
      <c r="R438" s="135"/>
      <c r="S438" s="136"/>
      <c r="T438" s="137"/>
      <c r="U438" s="138" t="s">
        <v>244</v>
      </c>
      <c r="V438" s="138" t="s">
        <v>244</v>
      </c>
      <c r="W438" s="139" t="s">
        <v>244</v>
      </c>
      <c r="X438" s="139" t="s">
        <v>244</v>
      </c>
      <c r="Y438" s="54">
        <v>0</v>
      </c>
    </row>
    <row r="439" spans="2:25" s="49" customFormat="1" ht="15.75" x14ac:dyDescent="0.25">
      <c r="B439" s="133"/>
      <c r="C439" s="134"/>
      <c r="D439" s="113"/>
      <c r="E439" s="114"/>
      <c r="F439" s="173"/>
      <c r="G439" s="116" t="s">
        <v>244</v>
      </c>
      <c r="H439" s="116" t="s">
        <v>244</v>
      </c>
      <c r="I439" s="113"/>
      <c r="J439" s="117" t="s">
        <v>244</v>
      </c>
      <c r="K439" s="118"/>
      <c r="L439" s="119">
        <v>0</v>
      </c>
      <c r="M439" s="120" t="s">
        <v>244</v>
      </c>
      <c r="N439" s="121" t="s">
        <v>244</v>
      </c>
      <c r="O439" s="122" t="s">
        <v>244</v>
      </c>
      <c r="P439" s="123" t="s">
        <v>244</v>
      </c>
      <c r="Q439" s="124"/>
      <c r="R439" s="135"/>
      <c r="S439" s="136"/>
      <c r="T439" s="137"/>
      <c r="U439" s="138" t="s">
        <v>244</v>
      </c>
      <c r="V439" s="138" t="s">
        <v>244</v>
      </c>
      <c r="W439" s="139" t="s">
        <v>244</v>
      </c>
      <c r="X439" s="139" t="s">
        <v>244</v>
      </c>
      <c r="Y439" s="54">
        <v>0</v>
      </c>
    </row>
    <row r="440" spans="2:25" s="49" customFormat="1" ht="15.75" x14ac:dyDescent="0.25">
      <c r="B440" s="133"/>
      <c r="C440" s="134"/>
      <c r="D440" s="113"/>
      <c r="E440" s="114"/>
      <c r="F440" s="173"/>
      <c r="G440" s="116" t="s">
        <v>244</v>
      </c>
      <c r="H440" s="116" t="s">
        <v>244</v>
      </c>
      <c r="I440" s="113"/>
      <c r="J440" s="117" t="s">
        <v>244</v>
      </c>
      <c r="K440" s="118"/>
      <c r="L440" s="119">
        <v>0</v>
      </c>
      <c r="M440" s="120" t="s">
        <v>244</v>
      </c>
      <c r="N440" s="121" t="s">
        <v>244</v>
      </c>
      <c r="O440" s="122" t="s">
        <v>244</v>
      </c>
      <c r="P440" s="123" t="s">
        <v>244</v>
      </c>
      <c r="Q440" s="124"/>
      <c r="R440" s="135"/>
      <c r="S440" s="136"/>
      <c r="T440" s="137"/>
      <c r="U440" s="138" t="s">
        <v>244</v>
      </c>
      <c r="V440" s="138" t="s">
        <v>244</v>
      </c>
      <c r="W440" s="139" t="s">
        <v>244</v>
      </c>
      <c r="X440" s="139" t="s">
        <v>244</v>
      </c>
      <c r="Y440" s="54">
        <v>0</v>
      </c>
    </row>
    <row r="441" spans="2:25" s="49" customFormat="1" ht="15.75" x14ac:dyDescent="0.25">
      <c r="B441" s="133"/>
      <c r="C441" s="134"/>
      <c r="D441" s="113"/>
      <c r="E441" s="114"/>
      <c r="F441" s="173"/>
      <c r="G441" s="116" t="s">
        <v>244</v>
      </c>
      <c r="H441" s="116" t="s">
        <v>244</v>
      </c>
      <c r="I441" s="113"/>
      <c r="J441" s="117" t="s">
        <v>244</v>
      </c>
      <c r="K441" s="118"/>
      <c r="L441" s="119">
        <v>0</v>
      </c>
      <c r="M441" s="120" t="s">
        <v>244</v>
      </c>
      <c r="N441" s="121" t="s">
        <v>244</v>
      </c>
      <c r="O441" s="122" t="s">
        <v>244</v>
      </c>
      <c r="P441" s="123" t="s">
        <v>244</v>
      </c>
      <c r="Q441" s="124"/>
      <c r="R441" s="135"/>
      <c r="S441" s="136"/>
      <c r="T441" s="137"/>
      <c r="U441" s="138" t="s">
        <v>244</v>
      </c>
      <c r="V441" s="138" t="s">
        <v>244</v>
      </c>
      <c r="W441" s="139" t="s">
        <v>244</v>
      </c>
      <c r="X441" s="139" t="s">
        <v>244</v>
      </c>
      <c r="Y441" s="54">
        <v>0</v>
      </c>
    </row>
    <row r="442" spans="2:25" s="49" customFormat="1" ht="15.75" x14ac:dyDescent="0.25">
      <c r="B442" s="133"/>
      <c r="C442" s="134"/>
      <c r="D442" s="113"/>
      <c r="E442" s="114"/>
      <c r="F442" s="173"/>
      <c r="G442" s="116" t="s">
        <v>244</v>
      </c>
      <c r="H442" s="116" t="s">
        <v>244</v>
      </c>
      <c r="I442" s="113"/>
      <c r="J442" s="117" t="s">
        <v>244</v>
      </c>
      <c r="K442" s="118"/>
      <c r="L442" s="119">
        <v>0</v>
      </c>
      <c r="M442" s="120" t="s">
        <v>244</v>
      </c>
      <c r="N442" s="121" t="s">
        <v>244</v>
      </c>
      <c r="O442" s="122" t="s">
        <v>244</v>
      </c>
      <c r="P442" s="123" t="s">
        <v>244</v>
      </c>
      <c r="Q442" s="124"/>
      <c r="R442" s="135"/>
      <c r="S442" s="136"/>
      <c r="T442" s="137"/>
      <c r="U442" s="138" t="s">
        <v>244</v>
      </c>
      <c r="V442" s="138" t="s">
        <v>244</v>
      </c>
      <c r="W442" s="139" t="s">
        <v>244</v>
      </c>
      <c r="X442" s="139" t="s">
        <v>244</v>
      </c>
      <c r="Y442" s="54">
        <v>0</v>
      </c>
    </row>
    <row r="443" spans="2:25" s="49" customFormat="1" ht="15.75" x14ac:dyDescent="0.25">
      <c r="B443" s="133"/>
      <c r="C443" s="134"/>
      <c r="D443" s="113"/>
      <c r="E443" s="114"/>
      <c r="F443" s="173"/>
      <c r="G443" s="116" t="s">
        <v>244</v>
      </c>
      <c r="H443" s="116" t="s">
        <v>244</v>
      </c>
      <c r="I443" s="113"/>
      <c r="J443" s="117" t="s">
        <v>244</v>
      </c>
      <c r="K443" s="118"/>
      <c r="L443" s="119">
        <v>0</v>
      </c>
      <c r="M443" s="120" t="s">
        <v>244</v>
      </c>
      <c r="N443" s="121" t="s">
        <v>244</v>
      </c>
      <c r="O443" s="122" t="s">
        <v>244</v>
      </c>
      <c r="P443" s="123" t="s">
        <v>244</v>
      </c>
      <c r="Q443" s="124"/>
      <c r="R443" s="135"/>
      <c r="S443" s="136"/>
      <c r="T443" s="137"/>
      <c r="U443" s="138" t="s">
        <v>244</v>
      </c>
      <c r="V443" s="138" t="s">
        <v>244</v>
      </c>
      <c r="W443" s="139" t="s">
        <v>244</v>
      </c>
      <c r="X443" s="139" t="s">
        <v>244</v>
      </c>
      <c r="Y443" s="54">
        <v>0</v>
      </c>
    </row>
    <row r="444" spans="2:25" s="49" customFormat="1" ht="15.75" x14ac:dyDescent="0.25">
      <c r="B444" s="133"/>
      <c r="C444" s="134"/>
      <c r="D444" s="113"/>
      <c r="E444" s="114"/>
      <c r="F444" s="173"/>
      <c r="G444" s="116" t="s">
        <v>244</v>
      </c>
      <c r="H444" s="116" t="s">
        <v>244</v>
      </c>
      <c r="I444" s="113"/>
      <c r="J444" s="117" t="s">
        <v>244</v>
      </c>
      <c r="K444" s="118"/>
      <c r="L444" s="119">
        <v>0</v>
      </c>
      <c r="M444" s="120" t="s">
        <v>244</v>
      </c>
      <c r="N444" s="121" t="s">
        <v>244</v>
      </c>
      <c r="O444" s="122" t="s">
        <v>244</v>
      </c>
      <c r="P444" s="123" t="s">
        <v>244</v>
      </c>
      <c r="Q444" s="124"/>
      <c r="R444" s="135"/>
      <c r="S444" s="136"/>
      <c r="T444" s="137"/>
      <c r="U444" s="138" t="s">
        <v>244</v>
      </c>
      <c r="V444" s="138" t="s">
        <v>244</v>
      </c>
      <c r="W444" s="139" t="s">
        <v>244</v>
      </c>
      <c r="X444" s="139" t="s">
        <v>244</v>
      </c>
      <c r="Y444" s="54">
        <v>0</v>
      </c>
    </row>
    <row r="445" spans="2:25" s="49" customFormat="1" ht="15.75" x14ac:dyDescent="0.25">
      <c r="B445" s="133"/>
      <c r="C445" s="134"/>
      <c r="D445" s="113"/>
      <c r="E445" s="114"/>
      <c r="F445" s="173"/>
      <c r="G445" s="116" t="s">
        <v>244</v>
      </c>
      <c r="H445" s="116" t="s">
        <v>244</v>
      </c>
      <c r="I445" s="113"/>
      <c r="J445" s="117" t="s">
        <v>244</v>
      </c>
      <c r="K445" s="118"/>
      <c r="L445" s="119">
        <v>0</v>
      </c>
      <c r="M445" s="120" t="s">
        <v>244</v>
      </c>
      <c r="N445" s="121" t="s">
        <v>244</v>
      </c>
      <c r="O445" s="122" t="s">
        <v>244</v>
      </c>
      <c r="P445" s="123" t="s">
        <v>244</v>
      </c>
      <c r="Q445" s="124"/>
      <c r="R445" s="135"/>
      <c r="S445" s="136"/>
      <c r="T445" s="137"/>
      <c r="U445" s="138" t="s">
        <v>244</v>
      </c>
      <c r="V445" s="138" t="s">
        <v>244</v>
      </c>
      <c r="W445" s="139" t="s">
        <v>244</v>
      </c>
      <c r="X445" s="139" t="s">
        <v>244</v>
      </c>
      <c r="Y445" s="54">
        <v>0</v>
      </c>
    </row>
    <row r="446" spans="2:25" s="49" customFormat="1" ht="15.75" x14ac:dyDescent="0.25">
      <c r="B446" s="133"/>
      <c r="C446" s="134"/>
      <c r="D446" s="113"/>
      <c r="E446" s="114"/>
      <c r="F446" s="173"/>
      <c r="G446" s="116" t="s">
        <v>244</v>
      </c>
      <c r="H446" s="116" t="s">
        <v>244</v>
      </c>
      <c r="I446" s="113"/>
      <c r="J446" s="117" t="s">
        <v>244</v>
      </c>
      <c r="K446" s="118"/>
      <c r="L446" s="119">
        <v>0</v>
      </c>
      <c r="M446" s="120" t="s">
        <v>244</v>
      </c>
      <c r="N446" s="121" t="s">
        <v>244</v>
      </c>
      <c r="O446" s="122" t="s">
        <v>244</v>
      </c>
      <c r="P446" s="123" t="s">
        <v>244</v>
      </c>
      <c r="Q446" s="124"/>
      <c r="R446" s="135"/>
      <c r="S446" s="136"/>
      <c r="T446" s="137"/>
      <c r="U446" s="138" t="s">
        <v>244</v>
      </c>
      <c r="V446" s="138" t="s">
        <v>244</v>
      </c>
      <c r="W446" s="139" t="s">
        <v>244</v>
      </c>
      <c r="X446" s="139" t="s">
        <v>244</v>
      </c>
      <c r="Y446" s="54">
        <v>0</v>
      </c>
    </row>
    <row r="447" spans="2:25" s="49" customFormat="1" ht="15.75" x14ac:dyDescent="0.25">
      <c r="B447" s="133"/>
      <c r="C447" s="134"/>
      <c r="D447" s="113"/>
      <c r="E447" s="114"/>
      <c r="F447" s="173"/>
      <c r="G447" s="116" t="s">
        <v>244</v>
      </c>
      <c r="H447" s="116" t="s">
        <v>244</v>
      </c>
      <c r="I447" s="113"/>
      <c r="J447" s="117" t="s">
        <v>244</v>
      </c>
      <c r="K447" s="118"/>
      <c r="L447" s="119">
        <v>0</v>
      </c>
      <c r="M447" s="120" t="s">
        <v>244</v>
      </c>
      <c r="N447" s="121" t="s">
        <v>244</v>
      </c>
      <c r="O447" s="122" t="s">
        <v>244</v>
      </c>
      <c r="P447" s="123" t="s">
        <v>244</v>
      </c>
      <c r="Q447" s="124"/>
      <c r="R447" s="135"/>
      <c r="S447" s="136"/>
      <c r="T447" s="137"/>
      <c r="U447" s="138" t="s">
        <v>244</v>
      </c>
      <c r="V447" s="138" t="s">
        <v>244</v>
      </c>
      <c r="W447" s="139" t="s">
        <v>244</v>
      </c>
      <c r="X447" s="139" t="s">
        <v>244</v>
      </c>
      <c r="Y447" s="54">
        <v>0</v>
      </c>
    </row>
    <row r="448" spans="2:25" s="49" customFormat="1" ht="15.75" x14ac:dyDescent="0.25">
      <c r="B448" s="133"/>
      <c r="C448" s="134"/>
      <c r="D448" s="113"/>
      <c r="E448" s="114"/>
      <c r="F448" s="173"/>
      <c r="G448" s="116" t="s">
        <v>244</v>
      </c>
      <c r="H448" s="116" t="s">
        <v>244</v>
      </c>
      <c r="I448" s="113"/>
      <c r="J448" s="117" t="s">
        <v>244</v>
      </c>
      <c r="K448" s="118"/>
      <c r="L448" s="119">
        <v>0</v>
      </c>
      <c r="M448" s="120" t="s">
        <v>244</v>
      </c>
      <c r="N448" s="121" t="s">
        <v>244</v>
      </c>
      <c r="O448" s="122" t="s">
        <v>244</v>
      </c>
      <c r="P448" s="123" t="s">
        <v>244</v>
      </c>
      <c r="Q448" s="124"/>
      <c r="R448" s="135"/>
      <c r="S448" s="136"/>
      <c r="T448" s="137"/>
      <c r="U448" s="138" t="s">
        <v>244</v>
      </c>
      <c r="V448" s="138" t="s">
        <v>244</v>
      </c>
      <c r="W448" s="139" t="s">
        <v>244</v>
      </c>
      <c r="X448" s="139" t="s">
        <v>244</v>
      </c>
      <c r="Y448" s="54">
        <v>0</v>
      </c>
    </row>
    <row r="449" spans="2:25" s="49" customFormat="1" ht="15.75" x14ac:dyDescent="0.25">
      <c r="B449" s="133"/>
      <c r="C449" s="134"/>
      <c r="D449" s="113"/>
      <c r="E449" s="114"/>
      <c r="F449" s="173"/>
      <c r="G449" s="116" t="s">
        <v>244</v>
      </c>
      <c r="H449" s="116" t="s">
        <v>244</v>
      </c>
      <c r="I449" s="113"/>
      <c r="J449" s="117" t="s">
        <v>244</v>
      </c>
      <c r="K449" s="118"/>
      <c r="L449" s="119">
        <v>0</v>
      </c>
      <c r="M449" s="120" t="s">
        <v>244</v>
      </c>
      <c r="N449" s="121" t="s">
        <v>244</v>
      </c>
      <c r="O449" s="122" t="s">
        <v>244</v>
      </c>
      <c r="P449" s="123" t="s">
        <v>244</v>
      </c>
      <c r="Q449" s="124"/>
      <c r="R449" s="135"/>
      <c r="S449" s="136"/>
      <c r="T449" s="137"/>
      <c r="U449" s="138" t="s">
        <v>244</v>
      </c>
      <c r="V449" s="138" t="s">
        <v>244</v>
      </c>
      <c r="W449" s="139" t="s">
        <v>244</v>
      </c>
      <c r="X449" s="139" t="s">
        <v>244</v>
      </c>
      <c r="Y449" s="54">
        <v>0</v>
      </c>
    </row>
    <row r="450" spans="2:25" s="49" customFormat="1" ht="15.75" x14ac:dyDescent="0.25">
      <c r="B450" s="133"/>
      <c r="C450" s="134"/>
      <c r="D450" s="113"/>
      <c r="E450" s="114"/>
      <c r="F450" s="173"/>
      <c r="G450" s="116" t="s">
        <v>244</v>
      </c>
      <c r="H450" s="116" t="s">
        <v>244</v>
      </c>
      <c r="I450" s="113"/>
      <c r="J450" s="117" t="s">
        <v>244</v>
      </c>
      <c r="K450" s="118"/>
      <c r="L450" s="119">
        <v>0</v>
      </c>
      <c r="M450" s="120" t="s">
        <v>244</v>
      </c>
      <c r="N450" s="121" t="s">
        <v>244</v>
      </c>
      <c r="O450" s="122" t="s">
        <v>244</v>
      </c>
      <c r="P450" s="123" t="s">
        <v>244</v>
      </c>
      <c r="Q450" s="124"/>
      <c r="R450" s="135"/>
      <c r="S450" s="136"/>
      <c r="T450" s="137"/>
      <c r="U450" s="138" t="s">
        <v>244</v>
      </c>
      <c r="V450" s="138" t="s">
        <v>244</v>
      </c>
      <c r="W450" s="139" t="s">
        <v>244</v>
      </c>
      <c r="X450" s="139" t="s">
        <v>244</v>
      </c>
      <c r="Y450" s="54">
        <v>0</v>
      </c>
    </row>
    <row r="451" spans="2:25" s="49" customFormat="1" ht="15.75" x14ac:dyDescent="0.25">
      <c r="B451" s="133"/>
      <c r="C451" s="134"/>
      <c r="D451" s="113"/>
      <c r="E451" s="114"/>
      <c r="F451" s="173"/>
      <c r="G451" s="116" t="s">
        <v>244</v>
      </c>
      <c r="H451" s="116" t="s">
        <v>244</v>
      </c>
      <c r="I451" s="113"/>
      <c r="J451" s="117" t="s">
        <v>244</v>
      </c>
      <c r="K451" s="118"/>
      <c r="L451" s="119">
        <v>0</v>
      </c>
      <c r="M451" s="120" t="s">
        <v>244</v>
      </c>
      <c r="N451" s="121" t="s">
        <v>244</v>
      </c>
      <c r="O451" s="122" t="s">
        <v>244</v>
      </c>
      <c r="P451" s="123" t="s">
        <v>244</v>
      </c>
      <c r="Q451" s="124"/>
      <c r="R451" s="135"/>
      <c r="S451" s="136"/>
      <c r="T451" s="137"/>
      <c r="U451" s="138" t="s">
        <v>244</v>
      </c>
      <c r="V451" s="138" t="s">
        <v>244</v>
      </c>
      <c r="W451" s="139" t="s">
        <v>244</v>
      </c>
      <c r="X451" s="139" t="s">
        <v>244</v>
      </c>
      <c r="Y451" s="54">
        <v>0</v>
      </c>
    </row>
    <row r="452" spans="2:25" s="49" customFormat="1" ht="15.75" x14ac:dyDescent="0.25">
      <c r="B452" s="133"/>
      <c r="C452" s="134"/>
      <c r="D452" s="113"/>
      <c r="E452" s="114"/>
      <c r="F452" s="173"/>
      <c r="G452" s="116" t="s">
        <v>244</v>
      </c>
      <c r="H452" s="116" t="s">
        <v>244</v>
      </c>
      <c r="I452" s="113"/>
      <c r="J452" s="117" t="s">
        <v>244</v>
      </c>
      <c r="K452" s="118"/>
      <c r="L452" s="119">
        <v>0</v>
      </c>
      <c r="M452" s="120" t="s">
        <v>244</v>
      </c>
      <c r="N452" s="121" t="s">
        <v>244</v>
      </c>
      <c r="O452" s="122" t="s">
        <v>244</v>
      </c>
      <c r="P452" s="123" t="s">
        <v>244</v>
      </c>
      <c r="Q452" s="124"/>
      <c r="R452" s="135"/>
      <c r="S452" s="136"/>
      <c r="T452" s="137"/>
      <c r="U452" s="138" t="s">
        <v>244</v>
      </c>
      <c r="V452" s="138" t="s">
        <v>244</v>
      </c>
      <c r="W452" s="139" t="s">
        <v>244</v>
      </c>
      <c r="X452" s="139" t="s">
        <v>244</v>
      </c>
      <c r="Y452" s="54">
        <v>0</v>
      </c>
    </row>
    <row r="453" spans="2:25" s="49" customFormat="1" ht="15.75" x14ac:dyDescent="0.25">
      <c r="B453" s="133"/>
      <c r="C453" s="134"/>
      <c r="D453" s="113"/>
      <c r="E453" s="114"/>
      <c r="F453" s="173"/>
      <c r="G453" s="116" t="s">
        <v>244</v>
      </c>
      <c r="H453" s="116" t="s">
        <v>244</v>
      </c>
      <c r="I453" s="113"/>
      <c r="J453" s="117" t="s">
        <v>244</v>
      </c>
      <c r="K453" s="118"/>
      <c r="L453" s="119">
        <v>0</v>
      </c>
      <c r="M453" s="120" t="s">
        <v>244</v>
      </c>
      <c r="N453" s="121" t="s">
        <v>244</v>
      </c>
      <c r="O453" s="122" t="s">
        <v>244</v>
      </c>
      <c r="P453" s="123" t="s">
        <v>244</v>
      </c>
      <c r="Q453" s="124"/>
      <c r="R453" s="135"/>
      <c r="S453" s="136"/>
      <c r="T453" s="137"/>
      <c r="U453" s="138" t="s">
        <v>244</v>
      </c>
      <c r="V453" s="138" t="s">
        <v>244</v>
      </c>
      <c r="W453" s="139" t="s">
        <v>244</v>
      </c>
      <c r="X453" s="139" t="s">
        <v>244</v>
      </c>
      <c r="Y453" s="54">
        <v>0</v>
      </c>
    </row>
    <row r="454" spans="2:25" s="49" customFormat="1" ht="15.75" x14ac:dyDescent="0.25">
      <c r="B454" s="133"/>
      <c r="C454" s="134"/>
      <c r="D454" s="113"/>
      <c r="E454" s="114"/>
      <c r="F454" s="173"/>
      <c r="G454" s="116" t="s">
        <v>244</v>
      </c>
      <c r="H454" s="116" t="s">
        <v>244</v>
      </c>
      <c r="I454" s="113"/>
      <c r="J454" s="117" t="s">
        <v>244</v>
      </c>
      <c r="K454" s="118"/>
      <c r="L454" s="119">
        <v>0</v>
      </c>
      <c r="M454" s="120" t="s">
        <v>244</v>
      </c>
      <c r="N454" s="121" t="s">
        <v>244</v>
      </c>
      <c r="O454" s="122" t="s">
        <v>244</v>
      </c>
      <c r="P454" s="123" t="s">
        <v>244</v>
      </c>
      <c r="Q454" s="124"/>
      <c r="R454" s="135"/>
      <c r="S454" s="136"/>
      <c r="T454" s="137"/>
      <c r="U454" s="138" t="s">
        <v>244</v>
      </c>
      <c r="V454" s="138" t="s">
        <v>244</v>
      </c>
      <c r="W454" s="139" t="s">
        <v>244</v>
      </c>
      <c r="X454" s="139" t="s">
        <v>244</v>
      </c>
      <c r="Y454" s="54">
        <v>0</v>
      </c>
    </row>
    <row r="455" spans="2:25" s="49" customFormat="1" ht="15.75" x14ac:dyDescent="0.25">
      <c r="B455" s="133"/>
      <c r="C455" s="134"/>
      <c r="D455" s="113"/>
      <c r="E455" s="114"/>
      <c r="F455" s="173"/>
      <c r="G455" s="116" t="s">
        <v>244</v>
      </c>
      <c r="H455" s="116" t="s">
        <v>244</v>
      </c>
      <c r="I455" s="113"/>
      <c r="J455" s="117" t="s">
        <v>244</v>
      </c>
      <c r="K455" s="118"/>
      <c r="L455" s="119">
        <v>0</v>
      </c>
      <c r="M455" s="120" t="s">
        <v>244</v>
      </c>
      <c r="N455" s="121" t="s">
        <v>244</v>
      </c>
      <c r="O455" s="122" t="s">
        <v>244</v>
      </c>
      <c r="P455" s="123" t="s">
        <v>244</v>
      </c>
      <c r="Q455" s="124"/>
      <c r="R455" s="135"/>
      <c r="S455" s="136"/>
      <c r="T455" s="137"/>
      <c r="U455" s="138" t="s">
        <v>244</v>
      </c>
      <c r="V455" s="138" t="s">
        <v>244</v>
      </c>
      <c r="W455" s="139" t="s">
        <v>244</v>
      </c>
      <c r="X455" s="139" t="s">
        <v>244</v>
      </c>
      <c r="Y455" s="54">
        <v>0</v>
      </c>
    </row>
    <row r="456" spans="2:25" s="49" customFormat="1" ht="15.75" x14ac:dyDescent="0.25">
      <c r="B456" s="133"/>
      <c r="C456" s="134"/>
      <c r="D456" s="113"/>
      <c r="E456" s="114"/>
      <c r="F456" s="173"/>
      <c r="G456" s="116" t="s">
        <v>244</v>
      </c>
      <c r="H456" s="116" t="s">
        <v>244</v>
      </c>
      <c r="I456" s="113"/>
      <c r="J456" s="117" t="s">
        <v>244</v>
      </c>
      <c r="K456" s="118"/>
      <c r="L456" s="119">
        <v>0</v>
      </c>
      <c r="M456" s="120" t="s">
        <v>244</v>
      </c>
      <c r="N456" s="121" t="s">
        <v>244</v>
      </c>
      <c r="O456" s="122" t="s">
        <v>244</v>
      </c>
      <c r="P456" s="123" t="s">
        <v>244</v>
      </c>
      <c r="Q456" s="124"/>
      <c r="R456" s="135"/>
      <c r="S456" s="136"/>
      <c r="T456" s="137"/>
      <c r="U456" s="138" t="s">
        <v>244</v>
      </c>
      <c r="V456" s="138" t="s">
        <v>244</v>
      </c>
      <c r="W456" s="139" t="s">
        <v>244</v>
      </c>
      <c r="X456" s="139" t="s">
        <v>244</v>
      </c>
      <c r="Y456" s="54">
        <v>0</v>
      </c>
    </row>
    <row r="457" spans="2:25" s="49" customFormat="1" ht="15.75" x14ac:dyDescent="0.25">
      <c r="B457" s="133"/>
      <c r="C457" s="134"/>
      <c r="D457" s="113"/>
      <c r="E457" s="114"/>
      <c r="F457" s="173"/>
      <c r="G457" s="116" t="s">
        <v>244</v>
      </c>
      <c r="H457" s="116" t="s">
        <v>244</v>
      </c>
      <c r="I457" s="113"/>
      <c r="J457" s="117" t="s">
        <v>244</v>
      </c>
      <c r="K457" s="118"/>
      <c r="L457" s="119">
        <v>0</v>
      </c>
      <c r="M457" s="120" t="s">
        <v>244</v>
      </c>
      <c r="N457" s="121" t="s">
        <v>244</v>
      </c>
      <c r="O457" s="122" t="s">
        <v>244</v>
      </c>
      <c r="P457" s="123" t="s">
        <v>244</v>
      </c>
      <c r="Q457" s="124"/>
      <c r="R457" s="135"/>
      <c r="S457" s="136"/>
      <c r="T457" s="137"/>
      <c r="U457" s="138" t="s">
        <v>244</v>
      </c>
      <c r="V457" s="138" t="s">
        <v>244</v>
      </c>
      <c r="W457" s="139" t="s">
        <v>244</v>
      </c>
      <c r="X457" s="139" t="s">
        <v>244</v>
      </c>
      <c r="Y457" s="54">
        <v>0</v>
      </c>
    </row>
    <row r="458" spans="2:25" s="49" customFormat="1" ht="15.75" x14ac:dyDescent="0.25">
      <c r="B458" s="133"/>
      <c r="C458" s="134"/>
      <c r="D458" s="113"/>
      <c r="E458" s="114"/>
      <c r="F458" s="173"/>
      <c r="G458" s="116" t="s">
        <v>244</v>
      </c>
      <c r="H458" s="116" t="s">
        <v>244</v>
      </c>
      <c r="I458" s="113"/>
      <c r="J458" s="117" t="s">
        <v>244</v>
      </c>
      <c r="K458" s="118"/>
      <c r="L458" s="119">
        <v>0</v>
      </c>
      <c r="M458" s="120" t="s">
        <v>244</v>
      </c>
      <c r="N458" s="121" t="s">
        <v>244</v>
      </c>
      <c r="O458" s="122" t="s">
        <v>244</v>
      </c>
      <c r="P458" s="123" t="s">
        <v>244</v>
      </c>
      <c r="Q458" s="124"/>
      <c r="R458" s="135"/>
      <c r="S458" s="136"/>
      <c r="T458" s="137"/>
      <c r="U458" s="138" t="s">
        <v>244</v>
      </c>
      <c r="V458" s="138" t="s">
        <v>244</v>
      </c>
      <c r="W458" s="139" t="s">
        <v>244</v>
      </c>
      <c r="X458" s="139" t="s">
        <v>244</v>
      </c>
      <c r="Y458" s="54">
        <v>0</v>
      </c>
    </row>
    <row r="459" spans="2:25" s="49" customFormat="1" ht="15.75" x14ac:dyDescent="0.25">
      <c r="B459" s="133"/>
      <c r="C459" s="134"/>
      <c r="D459" s="113"/>
      <c r="E459" s="114"/>
      <c r="F459" s="173"/>
      <c r="G459" s="116" t="s">
        <v>244</v>
      </c>
      <c r="H459" s="116" t="s">
        <v>244</v>
      </c>
      <c r="I459" s="113"/>
      <c r="J459" s="117" t="s">
        <v>244</v>
      </c>
      <c r="K459" s="118"/>
      <c r="L459" s="119">
        <v>0</v>
      </c>
      <c r="M459" s="120" t="s">
        <v>244</v>
      </c>
      <c r="N459" s="121" t="s">
        <v>244</v>
      </c>
      <c r="O459" s="122" t="s">
        <v>244</v>
      </c>
      <c r="P459" s="123" t="s">
        <v>244</v>
      </c>
      <c r="Q459" s="124"/>
      <c r="R459" s="135"/>
      <c r="S459" s="136"/>
      <c r="T459" s="137"/>
      <c r="U459" s="138" t="s">
        <v>244</v>
      </c>
      <c r="V459" s="138" t="s">
        <v>244</v>
      </c>
      <c r="W459" s="139" t="s">
        <v>244</v>
      </c>
      <c r="X459" s="139" t="s">
        <v>244</v>
      </c>
      <c r="Y459" s="54">
        <v>0</v>
      </c>
    </row>
    <row r="460" spans="2:25" s="49" customFormat="1" ht="15.75" x14ac:dyDescent="0.25">
      <c r="B460" s="133"/>
      <c r="C460" s="134"/>
      <c r="D460" s="113"/>
      <c r="E460" s="114"/>
      <c r="F460" s="173"/>
      <c r="G460" s="116" t="s">
        <v>244</v>
      </c>
      <c r="H460" s="116" t="s">
        <v>244</v>
      </c>
      <c r="I460" s="113"/>
      <c r="J460" s="117" t="s">
        <v>244</v>
      </c>
      <c r="K460" s="118"/>
      <c r="L460" s="119">
        <v>0</v>
      </c>
      <c r="M460" s="120" t="s">
        <v>244</v>
      </c>
      <c r="N460" s="121" t="s">
        <v>244</v>
      </c>
      <c r="O460" s="122" t="s">
        <v>244</v>
      </c>
      <c r="P460" s="123" t="s">
        <v>244</v>
      </c>
      <c r="Q460" s="124"/>
      <c r="R460" s="135"/>
      <c r="S460" s="136"/>
      <c r="T460" s="137"/>
      <c r="U460" s="138" t="s">
        <v>244</v>
      </c>
      <c r="V460" s="138" t="s">
        <v>244</v>
      </c>
      <c r="W460" s="139" t="s">
        <v>244</v>
      </c>
      <c r="X460" s="139" t="s">
        <v>244</v>
      </c>
      <c r="Y460" s="54">
        <v>0</v>
      </c>
    </row>
    <row r="461" spans="2:25" s="49" customFormat="1" ht="15.75" x14ac:dyDescent="0.25">
      <c r="B461" s="133"/>
      <c r="C461" s="134"/>
      <c r="D461" s="113"/>
      <c r="E461" s="114"/>
      <c r="F461" s="173"/>
      <c r="G461" s="116" t="s">
        <v>244</v>
      </c>
      <c r="H461" s="116" t="s">
        <v>244</v>
      </c>
      <c r="I461" s="113"/>
      <c r="J461" s="117" t="s">
        <v>244</v>
      </c>
      <c r="K461" s="118"/>
      <c r="L461" s="119">
        <v>0</v>
      </c>
      <c r="M461" s="120" t="s">
        <v>244</v>
      </c>
      <c r="N461" s="121" t="s">
        <v>244</v>
      </c>
      <c r="O461" s="122" t="s">
        <v>244</v>
      </c>
      <c r="P461" s="123" t="s">
        <v>244</v>
      </c>
      <c r="Q461" s="124"/>
      <c r="R461" s="135"/>
      <c r="S461" s="136"/>
      <c r="T461" s="137"/>
      <c r="U461" s="138" t="s">
        <v>244</v>
      </c>
      <c r="V461" s="138" t="s">
        <v>244</v>
      </c>
      <c r="W461" s="139" t="s">
        <v>244</v>
      </c>
      <c r="X461" s="139" t="s">
        <v>244</v>
      </c>
      <c r="Y461" s="54">
        <v>0</v>
      </c>
    </row>
    <row r="462" spans="2:25" s="49" customFormat="1" ht="15.75" x14ac:dyDescent="0.25">
      <c r="B462" s="133"/>
      <c r="C462" s="134"/>
      <c r="D462" s="113"/>
      <c r="E462" s="114"/>
      <c r="F462" s="173"/>
      <c r="G462" s="116" t="s">
        <v>244</v>
      </c>
      <c r="H462" s="116" t="s">
        <v>244</v>
      </c>
      <c r="I462" s="113"/>
      <c r="J462" s="117" t="s">
        <v>244</v>
      </c>
      <c r="K462" s="118"/>
      <c r="L462" s="119">
        <v>0</v>
      </c>
      <c r="M462" s="120" t="s">
        <v>244</v>
      </c>
      <c r="N462" s="121" t="s">
        <v>244</v>
      </c>
      <c r="O462" s="122" t="s">
        <v>244</v>
      </c>
      <c r="P462" s="123" t="s">
        <v>244</v>
      </c>
      <c r="Q462" s="124"/>
      <c r="R462" s="135"/>
      <c r="S462" s="136"/>
      <c r="T462" s="137"/>
      <c r="U462" s="138" t="s">
        <v>244</v>
      </c>
      <c r="V462" s="138" t="s">
        <v>244</v>
      </c>
      <c r="W462" s="139" t="s">
        <v>244</v>
      </c>
      <c r="X462" s="139" t="s">
        <v>244</v>
      </c>
      <c r="Y462" s="54">
        <v>0</v>
      </c>
    </row>
    <row r="463" spans="2:25" s="49" customFormat="1" ht="15.75" x14ac:dyDescent="0.25">
      <c r="B463" s="133"/>
      <c r="C463" s="134"/>
      <c r="D463" s="113"/>
      <c r="E463" s="114"/>
      <c r="F463" s="173"/>
      <c r="G463" s="116" t="s">
        <v>244</v>
      </c>
      <c r="H463" s="116" t="s">
        <v>244</v>
      </c>
      <c r="I463" s="113"/>
      <c r="J463" s="117" t="s">
        <v>244</v>
      </c>
      <c r="K463" s="118"/>
      <c r="L463" s="119">
        <v>0</v>
      </c>
      <c r="M463" s="120" t="s">
        <v>244</v>
      </c>
      <c r="N463" s="121" t="s">
        <v>244</v>
      </c>
      <c r="O463" s="122" t="s">
        <v>244</v>
      </c>
      <c r="P463" s="123" t="s">
        <v>244</v>
      </c>
      <c r="Q463" s="124"/>
      <c r="R463" s="135"/>
      <c r="S463" s="136"/>
      <c r="T463" s="137"/>
      <c r="U463" s="138" t="s">
        <v>244</v>
      </c>
      <c r="V463" s="138" t="s">
        <v>244</v>
      </c>
      <c r="W463" s="139" t="s">
        <v>244</v>
      </c>
      <c r="X463" s="139" t="s">
        <v>244</v>
      </c>
      <c r="Y463" s="54">
        <v>0</v>
      </c>
    </row>
    <row r="464" spans="2:25" s="49" customFormat="1" ht="15.75" x14ac:dyDescent="0.25">
      <c r="B464" s="133"/>
      <c r="C464" s="134"/>
      <c r="D464" s="113"/>
      <c r="E464" s="114"/>
      <c r="F464" s="173"/>
      <c r="G464" s="116" t="s">
        <v>244</v>
      </c>
      <c r="H464" s="116" t="s">
        <v>244</v>
      </c>
      <c r="I464" s="113"/>
      <c r="J464" s="117" t="s">
        <v>244</v>
      </c>
      <c r="K464" s="118"/>
      <c r="L464" s="119">
        <v>0</v>
      </c>
      <c r="M464" s="120" t="s">
        <v>244</v>
      </c>
      <c r="N464" s="121" t="s">
        <v>244</v>
      </c>
      <c r="O464" s="122" t="s">
        <v>244</v>
      </c>
      <c r="P464" s="123" t="s">
        <v>244</v>
      </c>
      <c r="Q464" s="124"/>
      <c r="R464" s="135"/>
      <c r="S464" s="136"/>
      <c r="T464" s="137"/>
      <c r="U464" s="138" t="s">
        <v>244</v>
      </c>
      <c r="V464" s="138" t="s">
        <v>244</v>
      </c>
      <c r="W464" s="139" t="s">
        <v>244</v>
      </c>
      <c r="X464" s="139" t="s">
        <v>244</v>
      </c>
      <c r="Y464" s="54">
        <v>0</v>
      </c>
    </row>
    <row r="465" spans="2:25" s="49" customFormat="1" ht="15.75" x14ac:dyDescent="0.25">
      <c r="B465" s="133"/>
      <c r="C465" s="134"/>
      <c r="D465" s="113"/>
      <c r="E465" s="114"/>
      <c r="F465" s="173"/>
      <c r="G465" s="116" t="s">
        <v>244</v>
      </c>
      <c r="H465" s="116" t="s">
        <v>244</v>
      </c>
      <c r="I465" s="113"/>
      <c r="J465" s="117" t="s">
        <v>244</v>
      </c>
      <c r="K465" s="118"/>
      <c r="L465" s="119">
        <v>0</v>
      </c>
      <c r="M465" s="120" t="s">
        <v>244</v>
      </c>
      <c r="N465" s="121" t="s">
        <v>244</v>
      </c>
      <c r="O465" s="122" t="s">
        <v>244</v>
      </c>
      <c r="P465" s="123" t="s">
        <v>244</v>
      </c>
      <c r="Q465" s="124"/>
      <c r="R465" s="135"/>
      <c r="S465" s="136"/>
      <c r="T465" s="137"/>
      <c r="U465" s="138" t="s">
        <v>244</v>
      </c>
      <c r="V465" s="138" t="s">
        <v>244</v>
      </c>
      <c r="W465" s="139" t="s">
        <v>244</v>
      </c>
      <c r="X465" s="139" t="s">
        <v>244</v>
      </c>
      <c r="Y465" s="54">
        <v>0</v>
      </c>
    </row>
    <row r="466" spans="2:25" s="49" customFormat="1" ht="15.75" x14ac:dyDescent="0.25">
      <c r="B466" s="133"/>
      <c r="C466" s="134"/>
      <c r="D466" s="113"/>
      <c r="E466" s="114"/>
      <c r="F466" s="173"/>
      <c r="G466" s="116" t="s">
        <v>244</v>
      </c>
      <c r="H466" s="116" t="s">
        <v>244</v>
      </c>
      <c r="I466" s="113"/>
      <c r="J466" s="117" t="s">
        <v>244</v>
      </c>
      <c r="K466" s="118"/>
      <c r="L466" s="119">
        <v>0</v>
      </c>
      <c r="M466" s="120" t="s">
        <v>244</v>
      </c>
      <c r="N466" s="121" t="s">
        <v>244</v>
      </c>
      <c r="O466" s="122" t="s">
        <v>244</v>
      </c>
      <c r="P466" s="123" t="s">
        <v>244</v>
      </c>
      <c r="Q466" s="124"/>
      <c r="R466" s="135"/>
      <c r="S466" s="136"/>
      <c r="T466" s="137"/>
      <c r="U466" s="138" t="s">
        <v>244</v>
      </c>
      <c r="V466" s="138" t="s">
        <v>244</v>
      </c>
      <c r="W466" s="139" t="s">
        <v>244</v>
      </c>
      <c r="X466" s="139" t="s">
        <v>244</v>
      </c>
      <c r="Y466" s="54">
        <v>0</v>
      </c>
    </row>
    <row r="467" spans="2:25" s="49" customFormat="1" ht="15.75" x14ac:dyDescent="0.25">
      <c r="B467" s="133"/>
      <c r="C467" s="134"/>
      <c r="D467" s="113"/>
      <c r="E467" s="114"/>
      <c r="F467" s="173"/>
      <c r="G467" s="116" t="s">
        <v>244</v>
      </c>
      <c r="H467" s="116" t="s">
        <v>244</v>
      </c>
      <c r="I467" s="113"/>
      <c r="J467" s="117" t="s">
        <v>244</v>
      </c>
      <c r="K467" s="118"/>
      <c r="L467" s="119">
        <v>0</v>
      </c>
      <c r="M467" s="120" t="s">
        <v>244</v>
      </c>
      <c r="N467" s="121" t="s">
        <v>244</v>
      </c>
      <c r="O467" s="122" t="s">
        <v>244</v>
      </c>
      <c r="P467" s="123" t="s">
        <v>244</v>
      </c>
      <c r="Q467" s="124"/>
      <c r="R467" s="135"/>
      <c r="S467" s="136"/>
      <c r="T467" s="137"/>
      <c r="U467" s="138" t="s">
        <v>244</v>
      </c>
      <c r="V467" s="138" t="s">
        <v>244</v>
      </c>
      <c r="W467" s="139" t="s">
        <v>244</v>
      </c>
      <c r="X467" s="139" t="s">
        <v>244</v>
      </c>
      <c r="Y467" s="54">
        <v>0</v>
      </c>
    </row>
    <row r="468" spans="2:25" s="49" customFormat="1" ht="15.75" x14ac:dyDescent="0.25">
      <c r="B468" s="133"/>
      <c r="C468" s="134"/>
      <c r="D468" s="113"/>
      <c r="E468" s="114"/>
      <c r="F468" s="173"/>
      <c r="G468" s="116" t="s">
        <v>244</v>
      </c>
      <c r="H468" s="116" t="s">
        <v>244</v>
      </c>
      <c r="I468" s="113"/>
      <c r="J468" s="117" t="s">
        <v>244</v>
      </c>
      <c r="K468" s="118"/>
      <c r="L468" s="119">
        <v>0</v>
      </c>
      <c r="M468" s="120" t="s">
        <v>244</v>
      </c>
      <c r="N468" s="121" t="s">
        <v>244</v>
      </c>
      <c r="O468" s="122" t="s">
        <v>244</v>
      </c>
      <c r="P468" s="123" t="s">
        <v>244</v>
      </c>
      <c r="Q468" s="124"/>
      <c r="R468" s="135"/>
      <c r="S468" s="136"/>
      <c r="T468" s="137"/>
      <c r="U468" s="138" t="s">
        <v>244</v>
      </c>
      <c r="V468" s="138" t="s">
        <v>244</v>
      </c>
      <c r="W468" s="139" t="s">
        <v>244</v>
      </c>
      <c r="X468" s="139" t="s">
        <v>244</v>
      </c>
      <c r="Y468" s="54">
        <v>0</v>
      </c>
    </row>
    <row r="469" spans="2:25" s="49" customFormat="1" ht="15.75" x14ac:dyDescent="0.25">
      <c r="B469" s="133"/>
      <c r="C469" s="134"/>
      <c r="D469" s="113"/>
      <c r="E469" s="114"/>
      <c r="F469" s="173"/>
      <c r="G469" s="116" t="s">
        <v>244</v>
      </c>
      <c r="H469" s="116" t="s">
        <v>244</v>
      </c>
      <c r="I469" s="113"/>
      <c r="J469" s="117" t="s">
        <v>244</v>
      </c>
      <c r="K469" s="118"/>
      <c r="L469" s="119">
        <v>0</v>
      </c>
      <c r="M469" s="120" t="s">
        <v>244</v>
      </c>
      <c r="N469" s="121" t="s">
        <v>244</v>
      </c>
      <c r="O469" s="122" t="s">
        <v>244</v>
      </c>
      <c r="P469" s="123" t="s">
        <v>244</v>
      </c>
      <c r="Q469" s="124"/>
      <c r="R469" s="135"/>
      <c r="S469" s="136"/>
      <c r="T469" s="137"/>
      <c r="U469" s="138" t="s">
        <v>244</v>
      </c>
      <c r="V469" s="138" t="s">
        <v>244</v>
      </c>
      <c r="W469" s="139" t="s">
        <v>244</v>
      </c>
      <c r="X469" s="139" t="s">
        <v>244</v>
      </c>
      <c r="Y469" s="54">
        <v>0</v>
      </c>
    </row>
    <row r="470" spans="2:25" s="49" customFormat="1" ht="15.75" x14ac:dyDescent="0.25">
      <c r="B470" s="133"/>
      <c r="C470" s="134"/>
      <c r="D470" s="113"/>
      <c r="E470" s="114"/>
      <c r="F470" s="173"/>
      <c r="G470" s="116" t="s">
        <v>244</v>
      </c>
      <c r="H470" s="116" t="s">
        <v>244</v>
      </c>
      <c r="I470" s="113"/>
      <c r="J470" s="117" t="s">
        <v>244</v>
      </c>
      <c r="K470" s="118"/>
      <c r="L470" s="119">
        <v>0</v>
      </c>
      <c r="M470" s="120" t="s">
        <v>244</v>
      </c>
      <c r="N470" s="121" t="s">
        <v>244</v>
      </c>
      <c r="O470" s="122" t="s">
        <v>244</v>
      </c>
      <c r="P470" s="123" t="s">
        <v>244</v>
      </c>
      <c r="Q470" s="124"/>
      <c r="R470" s="135"/>
      <c r="S470" s="136"/>
      <c r="T470" s="137"/>
      <c r="U470" s="138" t="s">
        <v>244</v>
      </c>
      <c r="V470" s="138" t="s">
        <v>244</v>
      </c>
      <c r="W470" s="139" t="s">
        <v>244</v>
      </c>
      <c r="X470" s="139" t="s">
        <v>244</v>
      </c>
      <c r="Y470" s="54">
        <v>0</v>
      </c>
    </row>
    <row r="471" spans="2:25" s="49" customFormat="1" ht="15.75" x14ac:dyDescent="0.25">
      <c r="B471" s="133"/>
      <c r="C471" s="134"/>
      <c r="D471" s="113"/>
      <c r="E471" s="114"/>
      <c r="F471" s="173"/>
      <c r="G471" s="116" t="s">
        <v>244</v>
      </c>
      <c r="H471" s="116" t="s">
        <v>244</v>
      </c>
      <c r="I471" s="113"/>
      <c r="J471" s="117" t="s">
        <v>244</v>
      </c>
      <c r="K471" s="118"/>
      <c r="L471" s="119">
        <v>0</v>
      </c>
      <c r="M471" s="120" t="s">
        <v>244</v>
      </c>
      <c r="N471" s="121" t="s">
        <v>244</v>
      </c>
      <c r="O471" s="122" t="s">
        <v>244</v>
      </c>
      <c r="P471" s="123" t="s">
        <v>244</v>
      </c>
      <c r="Q471" s="124"/>
      <c r="R471" s="135"/>
      <c r="S471" s="136"/>
      <c r="T471" s="137"/>
      <c r="U471" s="138" t="s">
        <v>244</v>
      </c>
      <c r="V471" s="138" t="s">
        <v>244</v>
      </c>
      <c r="W471" s="139" t="s">
        <v>244</v>
      </c>
      <c r="X471" s="139" t="s">
        <v>244</v>
      </c>
      <c r="Y471" s="54">
        <v>0</v>
      </c>
    </row>
    <row r="472" spans="2:25" s="49" customFormat="1" ht="15.75" x14ac:dyDescent="0.25">
      <c r="B472" s="133"/>
      <c r="C472" s="134"/>
      <c r="D472" s="113"/>
      <c r="E472" s="114"/>
      <c r="F472" s="173"/>
      <c r="G472" s="116" t="s">
        <v>244</v>
      </c>
      <c r="H472" s="116" t="s">
        <v>244</v>
      </c>
      <c r="I472" s="113"/>
      <c r="J472" s="117" t="s">
        <v>244</v>
      </c>
      <c r="K472" s="118"/>
      <c r="L472" s="119">
        <v>0</v>
      </c>
      <c r="M472" s="120" t="s">
        <v>244</v>
      </c>
      <c r="N472" s="121" t="s">
        <v>244</v>
      </c>
      <c r="O472" s="122" t="s">
        <v>244</v>
      </c>
      <c r="P472" s="123" t="s">
        <v>244</v>
      </c>
      <c r="Q472" s="124"/>
      <c r="R472" s="135"/>
      <c r="S472" s="136"/>
      <c r="T472" s="137"/>
      <c r="U472" s="138" t="s">
        <v>244</v>
      </c>
      <c r="V472" s="138" t="s">
        <v>244</v>
      </c>
      <c r="W472" s="139" t="s">
        <v>244</v>
      </c>
      <c r="X472" s="139" t="s">
        <v>244</v>
      </c>
      <c r="Y472" s="54">
        <v>0</v>
      </c>
    </row>
    <row r="473" spans="2:25" s="49" customFormat="1" ht="15.75" x14ac:dyDescent="0.25">
      <c r="B473" s="133"/>
      <c r="C473" s="134"/>
      <c r="D473" s="113"/>
      <c r="E473" s="114"/>
      <c r="F473" s="173"/>
      <c r="G473" s="116" t="s">
        <v>244</v>
      </c>
      <c r="H473" s="116" t="s">
        <v>244</v>
      </c>
      <c r="I473" s="113"/>
      <c r="J473" s="117" t="s">
        <v>244</v>
      </c>
      <c r="K473" s="118"/>
      <c r="L473" s="119">
        <v>0</v>
      </c>
      <c r="M473" s="120" t="s">
        <v>244</v>
      </c>
      <c r="N473" s="121" t="s">
        <v>244</v>
      </c>
      <c r="O473" s="122" t="s">
        <v>244</v>
      </c>
      <c r="P473" s="123" t="s">
        <v>244</v>
      </c>
      <c r="Q473" s="124"/>
      <c r="R473" s="135"/>
      <c r="S473" s="136"/>
      <c r="T473" s="137"/>
      <c r="U473" s="138" t="s">
        <v>244</v>
      </c>
      <c r="V473" s="138" t="s">
        <v>244</v>
      </c>
      <c r="W473" s="139" t="s">
        <v>244</v>
      </c>
      <c r="X473" s="139" t="s">
        <v>244</v>
      </c>
      <c r="Y473" s="54">
        <v>0</v>
      </c>
    </row>
    <row r="474" spans="2:25" s="49" customFormat="1" ht="15.75" x14ac:dyDescent="0.25">
      <c r="B474" s="133"/>
      <c r="C474" s="134"/>
      <c r="D474" s="113"/>
      <c r="E474" s="114"/>
      <c r="F474" s="173"/>
      <c r="G474" s="116" t="s">
        <v>244</v>
      </c>
      <c r="H474" s="116" t="s">
        <v>244</v>
      </c>
      <c r="I474" s="113"/>
      <c r="J474" s="117" t="s">
        <v>244</v>
      </c>
      <c r="K474" s="118"/>
      <c r="L474" s="119">
        <v>0</v>
      </c>
      <c r="M474" s="120" t="s">
        <v>244</v>
      </c>
      <c r="N474" s="121" t="s">
        <v>244</v>
      </c>
      <c r="O474" s="122" t="s">
        <v>244</v>
      </c>
      <c r="P474" s="123" t="s">
        <v>244</v>
      </c>
      <c r="Q474" s="124"/>
      <c r="R474" s="135"/>
      <c r="S474" s="136"/>
      <c r="T474" s="137"/>
      <c r="U474" s="138" t="s">
        <v>244</v>
      </c>
      <c r="V474" s="138" t="s">
        <v>244</v>
      </c>
      <c r="W474" s="139" t="s">
        <v>244</v>
      </c>
      <c r="X474" s="139" t="s">
        <v>244</v>
      </c>
      <c r="Y474" s="54">
        <v>0</v>
      </c>
    </row>
    <row r="475" spans="2:25" s="49" customFormat="1" ht="15.75" x14ac:dyDescent="0.25">
      <c r="B475" s="133"/>
      <c r="C475" s="134"/>
      <c r="D475" s="113"/>
      <c r="E475" s="114"/>
      <c r="F475" s="173"/>
      <c r="G475" s="116" t="s">
        <v>244</v>
      </c>
      <c r="H475" s="116" t="s">
        <v>244</v>
      </c>
      <c r="I475" s="113"/>
      <c r="J475" s="117" t="s">
        <v>244</v>
      </c>
      <c r="K475" s="118"/>
      <c r="L475" s="119">
        <v>0</v>
      </c>
      <c r="M475" s="120" t="s">
        <v>244</v>
      </c>
      <c r="N475" s="121" t="s">
        <v>244</v>
      </c>
      <c r="O475" s="122" t="s">
        <v>244</v>
      </c>
      <c r="P475" s="123" t="s">
        <v>244</v>
      </c>
      <c r="Q475" s="124"/>
      <c r="R475" s="135"/>
      <c r="S475" s="136"/>
      <c r="T475" s="137"/>
      <c r="U475" s="138" t="s">
        <v>244</v>
      </c>
      <c r="V475" s="138" t="s">
        <v>244</v>
      </c>
      <c r="W475" s="139" t="s">
        <v>244</v>
      </c>
      <c r="X475" s="139" t="s">
        <v>244</v>
      </c>
      <c r="Y475" s="54">
        <v>0</v>
      </c>
    </row>
    <row r="476" spans="2:25" s="49" customFormat="1" ht="15.75" x14ac:dyDescent="0.25">
      <c r="B476" s="133"/>
      <c r="C476" s="134"/>
      <c r="D476" s="113"/>
      <c r="E476" s="114"/>
      <c r="F476" s="173"/>
      <c r="G476" s="116" t="s">
        <v>244</v>
      </c>
      <c r="H476" s="116" t="s">
        <v>244</v>
      </c>
      <c r="I476" s="113"/>
      <c r="J476" s="117" t="s">
        <v>244</v>
      </c>
      <c r="K476" s="118"/>
      <c r="L476" s="119">
        <v>0</v>
      </c>
      <c r="M476" s="120" t="s">
        <v>244</v>
      </c>
      <c r="N476" s="121" t="s">
        <v>244</v>
      </c>
      <c r="O476" s="122" t="s">
        <v>244</v>
      </c>
      <c r="P476" s="123" t="s">
        <v>244</v>
      </c>
      <c r="Q476" s="124"/>
      <c r="R476" s="135"/>
      <c r="S476" s="136"/>
      <c r="T476" s="137"/>
      <c r="U476" s="138" t="s">
        <v>244</v>
      </c>
      <c r="V476" s="138" t="s">
        <v>244</v>
      </c>
      <c r="W476" s="139" t="s">
        <v>244</v>
      </c>
      <c r="X476" s="139" t="s">
        <v>244</v>
      </c>
      <c r="Y476" s="54">
        <v>0</v>
      </c>
    </row>
    <row r="477" spans="2:25" s="49" customFormat="1" ht="15.75" x14ac:dyDescent="0.25">
      <c r="B477" s="133"/>
      <c r="C477" s="134"/>
      <c r="D477" s="113"/>
      <c r="E477" s="114"/>
      <c r="F477" s="173"/>
      <c r="G477" s="116" t="s">
        <v>244</v>
      </c>
      <c r="H477" s="116" t="s">
        <v>244</v>
      </c>
      <c r="I477" s="113"/>
      <c r="J477" s="117" t="s">
        <v>244</v>
      </c>
      <c r="K477" s="118"/>
      <c r="L477" s="119">
        <v>0</v>
      </c>
      <c r="M477" s="120" t="s">
        <v>244</v>
      </c>
      <c r="N477" s="121" t="s">
        <v>244</v>
      </c>
      <c r="O477" s="122" t="s">
        <v>244</v>
      </c>
      <c r="P477" s="123" t="s">
        <v>244</v>
      </c>
      <c r="Q477" s="124"/>
      <c r="R477" s="135"/>
      <c r="S477" s="136"/>
      <c r="T477" s="137"/>
      <c r="U477" s="138" t="s">
        <v>244</v>
      </c>
      <c r="V477" s="138" t="s">
        <v>244</v>
      </c>
      <c r="W477" s="139" t="s">
        <v>244</v>
      </c>
      <c r="X477" s="139" t="s">
        <v>244</v>
      </c>
      <c r="Y477" s="54">
        <v>0</v>
      </c>
    </row>
    <row r="478" spans="2:25" s="49" customFormat="1" ht="15.75" x14ac:dyDescent="0.25">
      <c r="B478" s="133"/>
      <c r="C478" s="134"/>
      <c r="D478" s="113"/>
      <c r="E478" s="114"/>
      <c r="F478" s="173"/>
      <c r="G478" s="116" t="s">
        <v>244</v>
      </c>
      <c r="H478" s="116" t="s">
        <v>244</v>
      </c>
      <c r="I478" s="113"/>
      <c r="J478" s="117" t="s">
        <v>244</v>
      </c>
      <c r="K478" s="118"/>
      <c r="L478" s="119">
        <v>0</v>
      </c>
      <c r="M478" s="120" t="s">
        <v>244</v>
      </c>
      <c r="N478" s="121" t="s">
        <v>244</v>
      </c>
      <c r="O478" s="122" t="s">
        <v>244</v>
      </c>
      <c r="P478" s="123" t="s">
        <v>244</v>
      </c>
      <c r="Q478" s="124"/>
      <c r="R478" s="135"/>
      <c r="S478" s="136"/>
      <c r="T478" s="137"/>
      <c r="U478" s="138" t="s">
        <v>244</v>
      </c>
      <c r="V478" s="138" t="s">
        <v>244</v>
      </c>
      <c r="W478" s="139" t="s">
        <v>244</v>
      </c>
      <c r="X478" s="139" t="s">
        <v>244</v>
      </c>
      <c r="Y478" s="54">
        <v>0</v>
      </c>
    </row>
    <row r="479" spans="2:25" s="49" customFormat="1" ht="15.75" x14ac:dyDescent="0.25">
      <c r="B479" s="133"/>
      <c r="C479" s="134"/>
      <c r="D479" s="113"/>
      <c r="E479" s="114"/>
      <c r="F479" s="173"/>
      <c r="G479" s="116" t="s">
        <v>244</v>
      </c>
      <c r="H479" s="116" t="s">
        <v>244</v>
      </c>
      <c r="I479" s="113"/>
      <c r="J479" s="117" t="s">
        <v>244</v>
      </c>
      <c r="K479" s="118"/>
      <c r="L479" s="119">
        <v>0</v>
      </c>
      <c r="M479" s="120" t="s">
        <v>244</v>
      </c>
      <c r="N479" s="121" t="s">
        <v>244</v>
      </c>
      <c r="O479" s="122" t="s">
        <v>244</v>
      </c>
      <c r="P479" s="123" t="s">
        <v>244</v>
      </c>
      <c r="Q479" s="124"/>
      <c r="R479" s="135"/>
      <c r="S479" s="136"/>
      <c r="T479" s="137"/>
      <c r="U479" s="138" t="s">
        <v>244</v>
      </c>
      <c r="V479" s="138" t="s">
        <v>244</v>
      </c>
      <c r="W479" s="139" t="s">
        <v>244</v>
      </c>
      <c r="X479" s="139" t="s">
        <v>244</v>
      </c>
      <c r="Y479" s="54">
        <v>0</v>
      </c>
    </row>
    <row r="480" spans="2:25" s="49" customFormat="1" ht="15.75" x14ac:dyDescent="0.25">
      <c r="B480" s="133"/>
      <c r="C480" s="134"/>
      <c r="D480" s="113"/>
      <c r="E480" s="114"/>
      <c r="F480" s="173"/>
      <c r="G480" s="116" t="s">
        <v>244</v>
      </c>
      <c r="H480" s="116" t="s">
        <v>244</v>
      </c>
      <c r="I480" s="113"/>
      <c r="J480" s="117" t="s">
        <v>244</v>
      </c>
      <c r="K480" s="118"/>
      <c r="L480" s="119">
        <v>0</v>
      </c>
      <c r="M480" s="120" t="s">
        <v>244</v>
      </c>
      <c r="N480" s="121" t="s">
        <v>244</v>
      </c>
      <c r="O480" s="122" t="s">
        <v>244</v>
      </c>
      <c r="P480" s="123" t="s">
        <v>244</v>
      </c>
      <c r="Q480" s="124"/>
      <c r="R480" s="135"/>
      <c r="S480" s="136"/>
      <c r="T480" s="137"/>
      <c r="U480" s="138" t="s">
        <v>244</v>
      </c>
      <c r="V480" s="138" t="s">
        <v>244</v>
      </c>
      <c r="W480" s="139" t="s">
        <v>244</v>
      </c>
      <c r="X480" s="139" t="s">
        <v>244</v>
      </c>
      <c r="Y480" s="54">
        <v>0</v>
      </c>
    </row>
    <row r="481" spans="2:25" s="49" customFormat="1" ht="15.75" x14ac:dyDescent="0.25">
      <c r="B481" s="133"/>
      <c r="C481" s="134"/>
      <c r="D481" s="113"/>
      <c r="E481" s="114"/>
      <c r="F481" s="173"/>
      <c r="G481" s="116" t="s">
        <v>244</v>
      </c>
      <c r="H481" s="116" t="s">
        <v>244</v>
      </c>
      <c r="I481" s="113"/>
      <c r="J481" s="117" t="s">
        <v>244</v>
      </c>
      <c r="K481" s="118"/>
      <c r="L481" s="119">
        <v>0</v>
      </c>
      <c r="M481" s="120" t="s">
        <v>244</v>
      </c>
      <c r="N481" s="121" t="s">
        <v>244</v>
      </c>
      <c r="O481" s="122" t="s">
        <v>244</v>
      </c>
      <c r="P481" s="123" t="s">
        <v>244</v>
      </c>
      <c r="Q481" s="124"/>
      <c r="R481" s="135"/>
      <c r="S481" s="136"/>
      <c r="T481" s="137"/>
      <c r="U481" s="138" t="s">
        <v>244</v>
      </c>
      <c r="V481" s="138" t="s">
        <v>244</v>
      </c>
      <c r="W481" s="139" t="s">
        <v>244</v>
      </c>
      <c r="X481" s="139" t="s">
        <v>244</v>
      </c>
      <c r="Y481" s="54">
        <v>0</v>
      </c>
    </row>
    <row r="482" spans="2:25" s="49" customFormat="1" ht="15.75" x14ac:dyDescent="0.25">
      <c r="B482" s="133"/>
      <c r="C482" s="134"/>
      <c r="D482" s="113"/>
      <c r="E482" s="114"/>
      <c r="F482" s="173"/>
      <c r="G482" s="116" t="s">
        <v>244</v>
      </c>
      <c r="H482" s="116" t="s">
        <v>244</v>
      </c>
      <c r="I482" s="113"/>
      <c r="J482" s="117" t="s">
        <v>244</v>
      </c>
      <c r="K482" s="118"/>
      <c r="L482" s="119">
        <v>0</v>
      </c>
      <c r="M482" s="120" t="s">
        <v>244</v>
      </c>
      <c r="N482" s="121" t="s">
        <v>244</v>
      </c>
      <c r="O482" s="122" t="s">
        <v>244</v>
      </c>
      <c r="P482" s="123" t="s">
        <v>244</v>
      </c>
      <c r="Q482" s="124"/>
      <c r="R482" s="135"/>
      <c r="S482" s="136"/>
      <c r="T482" s="137"/>
      <c r="U482" s="138" t="s">
        <v>244</v>
      </c>
      <c r="V482" s="138" t="s">
        <v>244</v>
      </c>
      <c r="W482" s="139" t="s">
        <v>244</v>
      </c>
      <c r="X482" s="139" t="s">
        <v>244</v>
      </c>
      <c r="Y482" s="54">
        <v>0</v>
      </c>
    </row>
    <row r="483" spans="2:25" s="49" customFormat="1" ht="15.75" x14ac:dyDescent="0.25">
      <c r="B483" s="133"/>
      <c r="C483" s="134"/>
      <c r="D483" s="113"/>
      <c r="E483" s="114"/>
      <c r="F483" s="173"/>
      <c r="G483" s="116" t="s">
        <v>244</v>
      </c>
      <c r="H483" s="116" t="s">
        <v>244</v>
      </c>
      <c r="I483" s="113"/>
      <c r="J483" s="117" t="s">
        <v>244</v>
      </c>
      <c r="K483" s="118"/>
      <c r="L483" s="119">
        <v>0</v>
      </c>
      <c r="M483" s="120" t="s">
        <v>244</v>
      </c>
      <c r="N483" s="121" t="s">
        <v>244</v>
      </c>
      <c r="O483" s="122" t="s">
        <v>244</v>
      </c>
      <c r="P483" s="123" t="s">
        <v>244</v>
      </c>
      <c r="Q483" s="124"/>
      <c r="R483" s="135"/>
      <c r="S483" s="136"/>
      <c r="T483" s="137"/>
      <c r="U483" s="138" t="s">
        <v>244</v>
      </c>
      <c r="V483" s="138" t="s">
        <v>244</v>
      </c>
      <c r="W483" s="139" t="s">
        <v>244</v>
      </c>
      <c r="X483" s="139" t="s">
        <v>244</v>
      </c>
      <c r="Y483" s="54">
        <v>0</v>
      </c>
    </row>
    <row r="484" spans="2:25" s="49" customFormat="1" ht="15.75" x14ac:dyDescent="0.25">
      <c r="B484" s="133"/>
      <c r="C484" s="134"/>
      <c r="D484" s="113"/>
      <c r="E484" s="114"/>
      <c r="F484" s="173"/>
      <c r="G484" s="116" t="s">
        <v>244</v>
      </c>
      <c r="H484" s="116" t="s">
        <v>244</v>
      </c>
      <c r="I484" s="113"/>
      <c r="J484" s="117" t="s">
        <v>244</v>
      </c>
      <c r="K484" s="118"/>
      <c r="L484" s="119">
        <v>0</v>
      </c>
      <c r="M484" s="120" t="s">
        <v>244</v>
      </c>
      <c r="N484" s="121" t="s">
        <v>244</v>
      </c>
      <c r="O484" s="122" t="s">
        <v>244</v>
      </c>
      <c r="P484" s="123" t="s">
        <v>244</v>
      </c>
      <c r="Q484" s="124"/>
      <c r="R484" s="135"/>
      <c r="S484" s="136"/>
      <c r="T484" s="137"/>
      <c r="U484" s="138" t="s">
        <v>244</v>
      </c>
      <c r="V484" s="138" t="s">
        <v>244</v>
      </c>
      <c r="W484" s="139" t="s">
        <v>244</v>
      </c>
      <c r="X484" s="139" t="s">
        <v>244</v>
      </c>
      <c r="Y484" s="54">
        <v>0</v>
      </c>
    </row>
    <row r="485" spans="2:25" s="49" customFormat="1" ht="15.75" x14ac:dyDescent="0.25">
      <c r="B485" s="133"/>
      <c r="C485" s="134"/>
      <c r="D485" s="113"/>
      <c r="E485" s="114"/>
      <c r="F485" s="173"/>
      <c r="G485" s="116" t="s">
        <v>244</v>
      </c>
      <c r="H485" s="116" t="s">
        <v>244</v>
      </c>
      <c r="I485" s="113"/>
      <c r="J485" s="117" t="s">
        <v>244</v>
      </c>
      <c r="K485" s="118"/>
      <c r="L485" s="119">
        <v>0</v>
      </c>
      <c r="M485" s="120" t="s">
        <v>244</v>
      </c>
      <c r="N485" s="121" t="s">
        <v>244</v>
      </c>
      <c r="O485" s="122" t="s">
        <v>244</v>
      </c>
      <c r="P485" s="123" t="s">
        <v>244</v>
      </c>
      <c r="Q485" s="124"/>
      <c r="R485" s="135"/>
      <c r="S485" s="136"/>
      <c r="T485" s="137"/>
      <c r="U485" s="138" t="s">
        <v>244</v>
      </c>
      <c r="V485" s="138" t="s">
        <v>244</v>
      </c>
      <c r="W485" s="139" t="s">
        <v>244</v>
      </c>
      <c r="X485" s="139" t="s">
        <v>244</v>
      </c>
      <c r="Y485" s="54">
        <v>0</v>
      </c>
    </row>
    <row r="486" spans="2:25" s="49" customFormat="1" ht="15.75" x14ac:dyDescent="0.25">
      <c r="B486" s="133"/>
      <c r="C486" s="134"/>
      <c r="D486" s="113"/>
      <c r="E486" s="114"/>
      <c r="F486" s="173"/>
      <c r="G486" s="116" t="s">
        <v>244</v>
      </c>
      <c r="H486" s="116" t="s">
        <v>244</v>
      </c>
      <c r="I486" s="113"/>
      <c r="J486" s="117" t="s">
        <v>244</v>
      </c>
      <c r="K486" s="118"/>
      <c r="L486" s="119">
        <v>0</v>
      </c>
      <c r="M486" s="120" t="s">
        <v>244</v>
      </c>
      <c r="N486" s="121" t="s">
        <v>244</v>
      </c>
      <c r="O486" s="122" t="s">
        <v>244</v>
      </c>
      <c r="P486" s="123" t="s">
        <v>244</v>
      </c>
      <c r="Q486" s="124"/>
      <c r="R486" s="135"/>
      <c r="S486" s="136"/>
      <c r="T486" s="137"/>
      <c r="U486" s="138" t="s">
        <v>244</v>
      </c>
      <c r="V486" s="138" t="s">
        <v>244</v>
      </c>
      <c r="W486" s="139" t="s">
        <v>244</v>
      </c>
      <c r="X486" s="139" t="s">
        <v>244</v>
      </c>
      <c r="Y486" s="54">
        <v>0</v>
      </c>
    </row>
    <row r="487" spans="2:25" s="49" customFormat="1" ht="15.75" x14ac:dyDescent="0.25">
      <c r="B487" s="133"/>
      <c r="C487" s="134"/>
      <c r="D487" s="113"/>
      <c r="E487" s="114"/>
      <c r="F487" s="173"/>
      <c r="G487" s="116" t="s">
        <v>244</v>
      </c>
      <c r="H487" s="116" t="s">
        <v>244</v>
      </c>
      <c r="I487" s="113"/>
      <c r="J487" s="117" t="s">
        <v>244</v>
      </c>
      <c r="K487" s="118"/>
      <c r="L487" s="119">
        <v>0</v>
      </c>
      <c r="M487" s="120" t="s">
        <v>244</v>
      </c>
      <c r="N487" s="121" t="s">
        <v>244</v>
      </c>
      <c r="O487" s="122" t="s">
        <v>244</v>
      </c>
      <c r="P487" s="123" t="s">
        <v>244</v>
      </c>
      <c r="Q487" s="124"/>
      <c r="R487" s="135"/>
      <c r="S487" s="136"/>
      <c r="T487" s="137"/>
      <c r="U487" s="138" t="s">
        <v>244</v>
      </c>
      <c r="V487" s="138" t="s">
        <v>244</v>
      </c>
      <c r="W487" s="139" t="s">
        <v>244</v>
      </c>
      <c r="X487" s="139" t="s">
        <v>244</v>
      </c>
      <c r="Y487" s="54">
        <v>0</v>
      </c>
    </row>
    <row r="488" spans="2:25" s="49" customFormat="1" ht="15.75" x14ac:dyDescent="0.25">
      <c r="B488" s="133"/>
      <c r="C488" s="134"/>
      <c r="D488" s="113"/>
      <c r="E488" s="114"/>
      <c r="F488" s="173"/>
      <c r="G488" s="116" t="s">
        <v>244</v>
      </c>
      <c r="H488" s="116" t="s">
        <v>244</v>
      </c>
      <c r="I488" s="113"/>
      <c r="J488" s="117" t="s">
        <v>244</v>
      </c>
      <c r="K488" s="118"/>
      <c r="L488" s="119">
        <v>0</v>
      </c>
      <c r="M488" s="120" t="s">
        <v>244</v>
      </c>
      <c r="N488" s="121" t="s">
        <v>244</v>
      </c>
      <c r="O488" s="122" t="s">
        <v>244</v>
      </c>
      <c r="P488" s="123" t="s">
        <v>244</v>
      </c>
      <c r="Q488" s="124"/>
      <c r="R488" s="135"/>
      <c r="S488" s="136"/>
      <c r="T488" s="137"/>
      <c r="U488" s="138" t="s">
        <v>244</v>
      </c>
      <c r="V488" s="138" t="s">
        <v>244</v>
      </c>
      <c r="W488" s="139" t="s">
        <v>244</v>
      </c>
      <c r="X488" s="139" t="s">
        <v>244</v>
      </c>
      <c r="Y488" s="54">
        <v>0</v>
      </c>
    </row>
    <row r="489" spans="2:25" s="49" customFormat="1" ht="15.75" x14ac:dyDescent="0.25">
      <c r="B489" s="133"/>
      <c r="C489" s="134"/>
      <c r="D489" s="113"/>
      <c r="E489" s="114"/>
      <c r="F489" s="173"/>
      <c r="G489" s="116" t="s">
        <v>244</v>
      </c>
      <c r="H489" s="116" t="s">
        <v>244</v>
      </c>
      <c r="I489" s="113"/>
      <c r="J489" s="117" t="s">
        <v>244</v>
      </c>
      <c r="K489" s="118"/>
      <c r="L489" s="119">
        <v>0</v>
      </c>
      <c r="M489" s="120" t="s">
        <v>244</v>
      </c>
      <c r="N489" s="121" t="s">
        <v>244</v>
      </c>
      <c r="O489" s="122" t="s">
        <v>244</v>
      </c>
      <c r="P489" s="123" t="s">
        <v>244</v>
      </c>
      <c r="Q489" s="124"/>
      <c r="R489" s="135"/>
      <c r="S489" s="136"/>
      <c r="T489" s="137"/>
      <c r="U489" s="138" t="s">
        <v>244</v>
      </c>
      <c r="V489" s="138" t="s">
        <v>244</v>
      </c>
      <c r="W489" s="139" t="s">
        <v>244</v>
      </c>
      <c r="X489" s="139" t="s">
        <v>244</v>
      </c>
      <c r="Y489" s="54">
        <v>0</v>
      </c>
    </row>
    <row r="490" spans="2:25" s="49" customFormat="1" ht="15.75" x14ac:dyDescent="0.25">
      <c r="B490" s="133"/>
      <c r="C490" s="134"/>
      <c r="D490" s="113"/>
      <c r="E490" s="114"/>
      <c r="F490" s="173"/>
      <c r="G490" s="116" t="s">
        <v>244</v>
      </c>
      <c r="H490" s="116" t="s">
        <v>244</v>
      </c>
      <c r="I490" s="113"/>
      <c r="J490" s="117" t="s">
        <v>244</v>
      </c>
      <c r="K490" s="118"/>
      <c r="L490" s="119">
        <v>0</v>
      </c>
      <c r="M490" s="120" t="s">
        <v>244</v>
      </c>
      <c r="N490" s="121" t="s">
        <v>244</v>
      </c>
      <c r="O490" s="122" t="s">
        <v>244</v>
      </c>
      <c r="P490" s="123" t="s">
        <v>244</v>
      </c>
      <c r="Q490" s="124"/>
      <c r="R490" s="135"/>
      <c r="S490" s="136"/>
      <c r="T490" s="137"/>
      <c r="U490" s="138" t="s">
        <v>244</v>
      </c>
      <c r="V490" s="138" t="s">
        <v>244</v>
      </c>
      <c r="W490" s="139" t="s">
        <v>244</v>
      </c>
      <c r="X490" s="139" t="s">
        <v>244</v>
      </c>
      <c r="Y490" s="54">
        <v>0</v>
      </c>
    </row>
    <row r="491" spans="2:25" s="49" customFormat="1" ht="15.75" x14ac:dyDescent="0.25">
      <c r="B491" s="133"/>
      <c r="C491" s="134"/>
      <c r="D491" s="113"/>
      <c r="E491" s="114"/>
      <c r="F491" s="173"/>
      <c r="G491" s="116" t="s">
        <v>244</v>
      </c>
      <c r="H491" s="116" t="s">
        <v>244</v>
      </c>
      <c r="I491" s="113"/>
      <c r="J491" s="117" t="s">
        <v>244</v>
      </c>
      <c r="K491" s="118"/>
      <c r="L491" s="119">
        <v>0</v>
      </c>
      <c r="M491" s="120" t="s">
        <v>244</v>
      </c>
      <c r="N491" s="121" t="s">
        <v>244</v>
      </c>
      <c r="O491" s="122" t="s">
        <v>244</v>
      </c>
      <c r="P491" s="123" t="s">
        <v>244</v>
      </c>
      <c r="Q491" s="124"/>
      <c r="R491" s="135"/>
      <c r="S491" s="136"/>
      <c r="T491" s="137"/>
      <c r="U491" s="138" t="s">
        <v>244</v>
      </c>
      <c r="V491" s="138" t="s">
        <v>244</v>
      </c>
      <c r="W491" s="139" t="s">
        <v>244</v>
      </c>
      <c r="X491" s="139" t="s">
        <v>244</v>
      </c>
      <c r="Y491" s="54">
        <v>0</v>
      </c>
    </row>
    <row r="492" spans="2:25" s="49" customFormat="1" ht="15.75" x14ac:dyDescent="0.25">
      <c r="B492" s="133"/>
      <c r="C492" s="134"/>
      <c r="D492" s="113"/>
      <c r="E492" s="114"/>
      <c r="F492" s="173"/>
      <c r="G492" s="116" t="s">
        <v>244</v>
      </c>
      <c r="H492" s="116" t="s">
        <v>244</v>
      </c>
      <c r="I492" s="113"/>
      <c r="J492" s="117" t="s">
        <v>244</v>
      </c>
      <c r="K492" s="118"/>
      <c r="L492" s="119">
        <v>0</v>
      </c>
      <c r="M492" s="120" t="s">
        <v>244</v>
      </c>
      <c r="N492" s="121" t="s">
        <v>244</v>
      </c>
      <c r="O492" s="122" t="s">
        <v>244</v>
      </c>
      <c r="P492" s="123" t="s">
        <v>244</v>
      </c>
      <c r="Q492" s="124"/>
      <c r="R492" s="135"/>
      <c r="S492" s="136"/>
      <c r="T492" s="137"/>
      <c r="U492" s="138" t="s">
        <v>244</v>
      </c>
      <c r="V492" s="138" t="s">
        <v>244</v>
      </c>
      <c r="W492" s="139" t="s">
        <v>244</v>
      </c>
      <c r="X492" s="139" t="s">
        <v>244</v>
      </c>
      <c r="Y492" s="54">
        <v>0</v>
      </c>
    </row>
    <row r="493" spans="2:25" s="49" customFormat="1" ht="15.75" x14ac:dyDescent="0.25">
      <c r="B493" s="133"/>
      <c r="C493" s="134"/>
      <c r="D493" s="113"/>
      <c r="E493" s="114"/>
      <c r="F493" s="173"/>
      <c r="G493" s="116" t="s">
        <v>244</v>
      </c>
      <c r="H493" s="116" t="s">
        <v>244</v>
      </c>
      <c r="I493" s="113"/>
      <c r="J493" s="117" t="s">
        <v>244</v>
      </c>
      <c r="K493" s="118"/>
      <c r="L493" s="119">
        <v>0</v>
      </c>
      <c r="M493" s="120" t="s">
        <v>244</v>
      </c>
      <c r="N493" s="121" t="s">
        <v>244</v>
      </c>
      <c r="O493" s="122" t="s">
        <v>244</v>
      </c>
      <c r="P493" s="123" t="s">
        <v>244</v>
      </c>
      <c r="Q493" s="124"/>
      <c r="R493" s="135"/>
      <c r="S493" s="136"/>
      <c r="T493" s="137"/>
      <c r="U493" s="138" t="s">
        <v>244</v>
      </c>
      <c r="V493" s="138" t="s">
        <v>244</v>
      </c>
      <c r="W493" s="139" t="s">
        <v>244</v>
      </c>
      <c r="X493" s="139" t="s">
        <v>244</v>
      </c>
      <c r="Y493" s="54">
        <v>0</v>
      </c>
    </row>
    <row r="494" spans="2:25" s="49" customFormat="1" ht="15.75" x14ac:dyDescent="0.25">
      <c r="B494" s="133"/>
      <c r="C494" s="134"/>
      <c r="D494" s="113"/>
      <c r="E494" s="114"/>
      <c r="F494" s="173"/>
      <c r="G494" s="116" t="s">
        <v>244</v>
      </c>
      <c r="H494" s="116" t="s">
        <v>244</v>
      </c>
      <c r="I494" s="113"/>
      <c r="J494" s="117" t="s">
        <v>244</v>
      </c>
      <c r="K494" s="118"/>
      <c r="L494" s="119">
        <v>0</v>
      </c>
      <c r="M494" s="120" t="s">
        <v>244</v>
      </c>
      <c r="N494" s="121" t="s">
        <v>244</v>
      </c>
      <c r="O494" s="122" t="s">
        <v>244</v>
      </c>
      <c r="P494" s="123" t="s">
        <v>244</v>
      </c>
      <c r="Q494" s="124"/>
      <c r="R494" s="135"/>
      <c r="S494" s="136"/>
      <c r="T494" s="137"/>
      <c r="U494" s="138" t="s">
        <v>244</v>
      </c>
      <c r="V494" s="138" t="s">
        <v>244</v>
      </c>
      <c r="W494" s="139" t="s">
        <v>244</v>
      </c>
      <c r="X494" s="139" t="s">
        <v>244</v>
      </c>
      <c r="Y494" s="54">
        <v>0</v>
      </c>
    </row>
    <row r="495" spans="2:25" s="49" customFormat="1" ht="15.75" x14ac:dyDescent="0.25">
      <c r="B495" s="133"/>
      <c r="C495" s="134"/>
      <c r="D495" s="113"/>
      <c r="E495" s="114"/>
      <c r="F495" s="173"/>
      <c r="G495" s="116" t="s">
        <v>244</v>
      </c>
      <c r="H495" s="116" t="s">
        <v>244</v>
      </c>
      <c r="I495" s="113"/>
      <c r="J495" s="117" t="s">
        <v>244</v>
      </c>
      <c r="K495" s="118"/>
      <c r="L495" s="119">
        <v>0</v>
      </c>
      <c r="M495" s="120" t="s">
        <v>244</v>
      </c>
      <c r="N495" s="121" t="s">
        <v>244</v>
      </c>
      <c r="O495" s="122" t="s">
        <v>244</v>
      </c>
      <c r="P495" s="123" t="s">
        <v>244</v>
      </c>
      <c r="Q495" s="124"/>
      <c r="R495" s="135"/>
      <c r="S495" s="136"/>
      <c r="T495" s="137"/>
      <c r="U495" s="138" t="s">
        <v>244</v>
      </c>
      <c r="V495" s="138" t="s">
        <v>244</v>
      </c>
      <c r="W495" s="139" t="s">
        <v>244</v>
      </c>
      <c r="X495" s="139" t="s">
        <v>244</v>
      </c>
      <c r="Y495" s="54">
        <v>0</v>
      </c>
    </row>
    <row r="496" spans="2:25" s="49" customFormat="1" ht="15.75" x14ac:dyDescent="0.25">
      <c r="B496" s="133"/>
      <c r="C496" s="134"/>
      <c r="D496" s="113"/>
      <c r="E496" s="114"/>
      <c r="F496" s="173"/>
      <c r="G496" s="116" t="s">
        <v>244</v>
      </c>
      <c r="H496" s="116" t="s">
        <v>244</v>
      </c>
      <c r="I496" s="113"/>
      <c r="J496" s="117" t="s">
        <v>244</v>
      </c>
      <c r="K496" s="118"/>
      <c r="L496" s="119">
        <v>0</v>
      </c>
      <c r="M496" s="120" t="s">
        <v>244</v>
      </c>
      <c r="N496" s="121" t="s">
        <v>244</v>
      </c>
      <c r="O496" s="122" t="s">
        <v>244</v>
      </c>
      <c r="P496" s="123" t="s">
        <v>244</v>
      </c>
      <c r="Q496" s="124"/>
      <c r="R496" s="135"/>
      <c r="S496" s="136"/>
      <c r="T496" s="137"/>
      <c r="U496" s="138" t="s">
        <v>244</v>
      </c>
      <c r="V496" s="138" t="s">
        <v>244</v>
      </c>
      <c r="W496" s="139" t="s">
        <v>244</v>
      </c>
      <c r="X496" s="139" t="s">
        <v>244</v>
      </c>
      <c r="Y496" s="54">
        <v>0</v>
      </c>
    </row>
    <row r="497" spans="2:25" s="49" customFormat="1" ht="15.75" x14ac:dyDescent="0.25">
      <c r="B497" s="133"/>
      <c r="C497" s="134"/>
      <c r="D497" s="113"/>
      <c r="E497" s="114"/>
      <c r="F497" s="173"/>
      <c r="G497" s="116" t="s">
        <v>244</v>
      </c>
      <c r="H497" s="116" t="s">
        <v>244</v>
      </c>
      <c r="I497" s="113"/>
      <c r="J497" s="117" t="s">
        <v>244</v>
      </c>
      <c r="K497" s="118"/>
      <c r="L497" s="119">
        <v>0</v>
      </c>
      <c r="M497" s="120" t="s">
        <v>244</v>
      </c>
      <c r="N497" s="121" t="s">
        <v>244</v>
      </c>
      <c r="O497" s="122" t="s">
        <v>244</v>
      </c>
      <c r="P497" s="123" t="s">
        <v>244</v>
      </c>
      <c r="Q497" s="124"/>
      <c r="R497" s="135"/>
      <c r="S497" s="136"/>
      <c r="T497" s="137"/>
      <c r="U497" s="138" t="s">
        <v>244</v>
      </c>
      <c r="V497" s="138" t="s">
        <v>244</v>
      </c>
      <c r="W497" s="139" t="s">
        <v>244</v>
      </c>
      <c r="X497" s="139" t="s">
        <v>244</v>
      </c>
      <c r="Y497" s="54">
        <v>0</v>
      </c>
    </row>
    <row r="498" spans="2:25" s="49" customFormat="1" ht="15.75" x14ac:dyDescent="0.25">
      <c r="B498" s="133"/>
      <c r="C498" s="134"/>
      <c r="D498" s="113"/>
      <c r="E498" s="114"/>
      <c r="F498" s="173"/>
      <c r="G498" s="116" t="s">
        <v>244</v>
      </c>
      <c r="H498" s="116" t="s">
        <v>244</v>
      </c>
      <c r="I498" s="113"/>
      <c r="J498" s="117" t="s">
        <v>244</v>
      </c>
      <c r="K498" s="118"/>
      <c r="L498" s="119">
        <v>0</v>
      </c>
      <c r="M498" s="120" t="s">
        <v>244</v>
      </c>
      <c r="N498" s="121" t="s">
        <v>244</v>
      </c>
      <c r="O498" s="122" t="s">
        <v>244</v>
      </c>
      <c r="P498" s="123" t="s">
        <v>244</v>
      </c>
      <c r="Q498" s="124"/>
      <c r="R498" s="135"/>
      <c r="S498" s="136"/>
      <c r="T498" s="137"/>
      <c r="U498" s="138" t="s">
        <v>244</v>
      </c>
      <c r="V498" s="138" t="s">
        <v>244</v>
      </c>
      <c r="W498" s="139" t="s">
        <v>244</v>
      </c>
      <c r="X498" s="139" t="s">
        <v>244</v>
      </c>
      <c r="Y498" s="54">
        <v>0</v>
      </c>
    </row>
    <row r="499" spans="2:25" s="49" customFormat="1" ht="15.75" x14ac:dyDescent="0.25">
      <c r="B499" s="133"/>
      <c r="C499" s="134"/>
      <c r="D499" s="113"/>
      <c r="E499" s="114"/>
      <c r="F499" s="173"/>
      <c r="G499" s="116" t="s">
        <v>244</v>
      </c>
      <c r="H499" s="116" t="s">
        <v>244</v>
      </c>
      <c r="I499" s="113"/>
      <c r="J499" s="117" t="s">
        <v>244</v>
      </c>
      <c r="K499" s="118"/>
      <c r="L499" s="119">
        <v>0</v>
      </c>
      <c r="M499" s="120" t="s">
        <v>244</v>
      </c>
      <c r="N499" s="121" t="s">
        <v>244</v>
      </c>
      <c r="O499" s="122" t="s">
        <v>244</v>
      </c>
      <c r="P499" s="123" t="s">
        <v>244</v>
      </c>
      <c r="Q499" s="124"/>
      <c r="R499" s="135"/>
      <c r="S499" s="136"/>
      <c r="T499" s="137"/>
      <c r="U499" s="138" t="s">
        <v>244</v>
      </c>
      <c r="V499" s="138" t="s">
        <v>244</v>
      </c>
      <c r="W499" s="139" t="s">
        <v>244</v>
      </c>
      <c r="X499" s="139" t="s">
        <v>244</v>
      </c>
      <c r="Y499" s="54">
        <v>0</v>
      </c>
    </row>
    <row r="500" spans="2:25" s="49" customFormat="1" ht="15.75" x14ac:dyDescent="0.25">
      <c r="B500" s="133"/>
      <c r="C500" s="134"/>
      <c r="D500" s="113"/>
      <c r="E500" s="114"/>
      <c r="F500" s="173"/>
      <c r="G500" s="116" t="s">
        <v>244</v>
      </c>
      <c r="H500" s="116" t="s">
        <v>244</v>
      </c>
      <c r="I500" s="113"/>
      <c r="J500" s="117" t="s">
        <v>244</v>
      </c>
      <c r="K500" s="118"/>
      <c r="L500" s="119">
        <v>0</v>
      </c>
      <c r="M500" s="120" t="s">
        <v>244</v>
      </c>
      <c r="N500" s="121" t="s">
        <v>244</v>
      </c>
      <c r="O500" s="122" t="s">
        <v>244</v>
      </c>
      <c r="P500" s="123" t="s">
        <v>244</v>
      </c>
      <c r="Q500" s="124"/>
      <c r="R500" s="135"/>
      <c r="S500" s="136"/>
      <c r="T500" s="137"/>
      <c r="U500" s="138" t="s">
        <v>244</v>
      </c>
      <c r="V500" s="138" t="s">
        <v>244</v>
      </c>
      <c r="W500" s="139" t="s">
        <v>244</v>
      </c>
      <c r="X500" s="139" t="s">
        <v>244</v>
      </c>
      <c r="Y500" s="54">
        <v>0</v>
      </c>
    </row>
    <row r="501" spans="2:25" s="49" customFormat="1" ht="15.75" x14ac:dyDescent="0.25">
      <c r="B501" s="133"/>
      <c r="C501" s="134"/>
      <c r="D501" s="113"/>
      <c r="E501" s="114"/>
      <c r="F501" s="173"/>
      <c r="G501" s="116" t="s">
        <v>244</v>
      </c>
      <c r="H501" s="116" t="s">
        <v>244</v>
      </c>
      <c r="I501" s="113"/>
      <c r="J501" s="117" t="s">
        <v>244</v>
      </c>
      <c r="K501" s="118"/>
      <c r="L501" s="119">
        <v>0</v>
      </c>
      <c r="M501" s="120" t="s">
        <v>244</v>
      </c>
      <c r="N501" s="121" t="s">
        <v>244</v>
      </c>
      <c r="O501" s="122" t="s">
        <v>244</v>
      </c>
      <c r="P501" s="123" t="s">
        <v>244</v>
      </c>
      <c r="Q501" s="124"/>
      <c r="R501" s="135"/>
      <c r="S501" s="136"/>
      <c r="T501" s="137"/>
      <c r="U501" s="138" t="s">
        <v>244</v>
      </c>
      <c r="V501" s="138" t="s">
        <v>244</v>
      </c>
      <c r="W501" s="139" t="s">
        <v>244</v>
      </c>
      <c r="X501" s="139" t="s">
        <v>244</v>
      </c>
      <c r="Y501" s="54">
        <v>0</v>
      </c>
    </row>
    <row r="502" spans="2:25" s="49" customFormat="1" ht="15.75" x14ac:dyDescent="0.25">
      <c r="B502" s="133"/>
      <c r="C502" s="134"/>
      <c r="D502" s="113"/>
      <c r="E502" s="114"/>
      <c r="F502" s="173"/>
      <c r="G502" s="116" t="s">
        <v>244</v>
      </c>
      <c r="H502" s="116" t="s">
        <v>244</v>
      </c>
      <c r="I502" s="113"/>
      <c r="J502" s="117" t="s">
        <v>244</v>
      </c>
      <c r="K502" s="118"/>
      <c r="L502" s="119">
        <v>0</v>
      </c>
      <c r="M502" s="120" t="s">
        <v>244</v>
      </c>
      <c r="N502" s="121" t="s">
        <v>244</v>
      </c>
      <c r="O502" s="122" t="s">
        <v>244</v>
      </c>
      <c r="P502" s="123" t="s">
        <v>244</v>
      </c>
      <c r="Q502" s="124"/>
      <c r="R502" s="135"/>
      <c r="S502" s="136"/>
      <c r="T502" s="137"/>
      <c r="U502" s="138" t="s">
        <v>244</v>
      </c>
      <c r="V502" s="138" t="s">
        <v>244</v>
      </c>
      <c r="W502" s="139" t="s">
        <v>244</v>
      </c>
      <c r="X502" s="139" t="s">
        <v>244</v>
      </c>
      <c r="Y502" s="54">
        <v>0</v>
      </c>
    </row>
    <row r="503" spans="2:25" s="49" customFormat="1" ht="15.75" x14ac:dyDescent="0.25">
      <c r="B503" s="133"/>
      <c r="C503" s="134"/>
      <c r="D503" s="113"/>
      <c r="E503" s="114"/>
      <c r="F503" s="173"/>
      <c r="G503" s="116" t="s">
        <v>244</v>
      </c>
      <c r="H503" s="116" t="s">
        <v>244</v>
      </c>
      <c r="I503" s="113"/>
      <c r="J503" s="117" t="s">
        <v>244</v>
      </c>
      <c r="K503" s="118"/>
      <c r="L503" s="119">
        <v>0</v>
      </c>
      <c r="M503" s="120" t="s">
        <v>244</v>
      </c>
      <c r="N503" s="121" t="s">
        <v>244</v>
      </c>
      <c r="O503" s="122" t="s">
        <v>244</v>
      </c>
      <c r="P503" s="123" t="s">
        <v>244</v>
      </c>
      <c r="Q503" s="124"/>
      <c r="R503" s="135"/>
      <c r="S503" s="136"/>
      <c r="T503" s="137"/>
      <c r="U503" s="138" t="s">
        <v>244</v>
      </c>
      <c r="V503" s="138" t="s">
        <v>244</v>
      </c>
      <c r="W503" s="139" t="s">
        <v>244</v>
      </c>
      <c r="X503" s="139" t="s">
        <v>244</v>
      </c>
      <c r="Y503" s="54">
        <v>0</v>
      </c>
    </row>
    <row r="504" spans="2:25" s="49" customFormat="1" ht="15.75" x14ac:dyDescent="0.25">
      <c r="B504" s="133"/>
      <c r="C504" s="134"/>
      <c r="D504" s="113"/>
      <c r="E504" s="114"/>
      <c r="F504" s="173"/>
      <c r="G504" s="116" t="s">
        <v>244</v>
      </c>
      <c r="H504" s="116" t="s">
        <v>244</v>
      </c>
      <c r="I504" s="113"/>
      <c r="J504" s="117" t="s">
        <v>244</v>
      </c>
      <c r="K504" s="118"/>
      <c r="L504" s="119">
        <v>0</v>
      </c>
      <c r="M504" s="120" t="s">
        <v>244</v>
      </c>
      <c r="N504" s="121" t="s">
        <v>244</v>
      </c>
      <c r="O504" s="122" t="s">
        <v>244</v>
      </c>
      <c r="P504" s="123" t="s">
        <v>244</v>
      </c>
      <c r="Q504" s="124"/>
      <c r="R504" s="135"/>
      <c r="S504" s="136"/>
      <c r="T504" s="137"/>
      <c r="U504" s="138" t="s">
        <v>244</v>
      </c>
      <c r="V504" s="138" t="s">
        <v>244</v>
      </c>
      <c r="W504" s="139" t="s">
        <v>244</v>
      </c>
      <c r="X504" s="139" t="s">
        <v>244</v>
      </c>
      <c r="Y504" s="54">
        <v>0</v>
      </c>
    </row>
    <row r="505" spans="2:25" s="49" customFormat="1" ht="15.75" x14ac:dyDescent="0.25">
      <c r="B505" s="133"/>
      <c r="C505" s="134"/>
      <c r="D505" s="113"/>
      <c r="E505" s="114"/>
      <c r="F505" s="173"/>
      <c r="G505" s="116" t="s">
        <v>244</v>
      </c>
      <c r="H505" s="116" t="s">
        <v>244</v>
      </c>
      <c r="I505" s="113"/>
      <c r="J505" s="117" t="s">
        <v>244</v>
      </c>
      <c r="K505" s="118"/>
      <c r="L505" s="119">
        <v>0</v>
      </c>
      <c r="M505" s="120" t="s">
        <v>244</v>
      </c>
      <c r="N505" s="121" t="s">
        <v>244</v>
      </c>
      <c r="O505" s="122" t="s">
        <v>244</v>
      </c>
      <c r="P505" s="123" t="s">
        <v>244</v>
      </c>
      <c r="Q505" s="124"/>
      <c r="R505" s="135"/>
      <c r="S505" s="136"/>
      <c r="T505" s="137"/>
      <c r="U505" s="138" t="s">
        <v>244</v>
      </c>
      <c r="V505" s="138" t="s">
        <v>244</v>
      </c>
      <c r="W505" s="139" t="s">
        <v>244</v>
      </c>
      <c r="X505" s="139" t="s">
        <v>244</v>
      </c>
      <c r="Y505" s="54">
        <v>0</v>
      </c>
    </row>
    <row r="506" spans="2:25" s="49" customFormat="1" ht="15.75" x14ac:dyDescent="0.25">
      <c r="B506" s="133"/>
      <c r="C506" s="134"/>
      <c r="D506" s="113"/>
      <c r="E506" s="114"/>
      <c r="F506" s="173"/>
      <c r="G506" s="116" t="s">
        <v>244</v>
      </c>
      <c r="H506" s="116" t="s">
        <v>244</v>
      </c>
      <c r="I506" s="113"/>
      <c r="J506" s="117" t="s">
        <v>244</v>
      </c>
      <c r="K506" s="118"/>
      <c r="L506" s="119">
        <v>0</v>
      </c>
      <c r="M506" s="120" t="s">
        <v>244</v>
      </c>
      <c r="N506" s="121" t="s">
        <v>244</v>
      </c>
      <c r="O506" s="122" t="s">
        <v>244</v>
      </c>
      <c r="P506" s="123" t="s">
        <v>244</v>
      </c>
      <c r="Q506" s="124"/>
      <c r="R506" s="135"/>
      <c r="S506" s="136"/>
      <c r="T506" s="137"/>
      <c r="U506" s="138" t="s">
        <v>244</v>
      </c>
      <c r="V506" s="138" t="s">
        <v>244</v>
      </c>
      <c r="W506" s="139" t="s">
        <v>244</v>
      </c>
      <c r="X506" s="139" t="s">
        <v>244</v>
      </c>
      <c r="Y506" s="54">
        <v>0</v>
      </c>
    </row>
    <row r="507" spans="2:25" s="49" customFormat="1" ht="15.75" x14ac:dyDescent="0.25">
      <c r="B507" s="133"/>
      <c r="C507" s="134"/>
      <c r="D507" s="113"/>
      <c r="E507" s="114"/>
      <c r="F507" s="173"/>
      <c r="G507" s="116" t="s">
        <v>244</v>
      </c>
      <c r="H507" s="116" t="s">
        <v>244</v>
      </c>
      <c r="I507" s="113"/>
      <c r="J507" s="117" t="s">
        <v>244</v>
      </c>
      <c r="K507" s="118"/>
      <c r="L507" s="119">
        <v>0</v>
      </c>
      <c r="M507" s="120" t="s">
        <v>244</v>
      </c>
      <c r="N507" s="121" t="s">
        <v>244</v>
      </c>
      <c r="O507" s="122" t="s">
        <v>244</v>
      </c>
      <c r="P507" s="123" t="s">
        <v>244</v>
      </c>
      <c r="Q507" s="124"/>
      <c r="R507" s="135"/>
      <c r="S507" s="136"/>
      <c r="T507" s="137"/>
      <c r="U507" s="138" t="s">
        <v>244</v>
      </c>
      <c r="V507" s="138" t="s">
        <v>244</v>
      </c>
      <c r="W507" s="139" t="s">
        <v>244</v>
      </c>
      <c r="X507" s="139" t="s">
        <v>244</v>
      </c>
      <c r="Y507" s="54">
        <v>0</v>
      </c>
    </row>
    <row r="508" spans="2:25" s="49" customFormat="1" ht="15.75" x14ac:dyDescent="0.25">
      <c r="B508" s="133"/>
      <c r="C508" s="134"/>
      <c r="D508" s="113"/>
      <c r="E508" s="114"/>
      <c r="F508" s="173"/>
      <c r="G508" s="116" t="s">
        <v>244</v>
      </c>
      <c r="H508" s="116" t="s">
        <v>244</v>
      </c>
      <c r="I508" s="113"/>
      <c r="J508" s="117" t="s">
        <v>244</v>
      </c>
      <c r="K508" s="118"/>
      <c r="L508" s="119">
        <v>0</v>
      </c>
      <c r="M508" s="120" t="s">
        <v>244</v>
      </c>
      <c r="N508" s="121" t="s">
        <v>244</v>
      </c>
      <c r="O508" s="122" t="s">
        <v>244</v>
      </c>
      <c r="P508" s="123" t="s">
        <v>244</v>
      </c>
      <c r="Q508" s="124"/>
      <c r="R508" s="135"/>
      <c r="S508" s="136"/>
      <c r="T508" s="137"/>
      <c r="U508" s="138" t="s">
        <v>244</v>
      </c>
      <c r="V508" s="138" t="s">
        <v>244</v>
      </c>
      <c r="W508" s="139" t="s">
        <v>244</v>
      </c>
      <c r="X508" s="139" t="s">
        <v>244</v>
      </c>
      <c r="Y508" s="54">
        <v>0</v>
      </c>
    </row>
    <row r="509" spans="2:25" s="49" customFormat="1" ht="15.75" x14ac:dyDescent="0.25">
      <c r="B509" s="133"/>
      <c r="C509" s="134"/>
      <c r="D509" s="113"/>
      <c r="E509" s="114"/>
      <c r="F509" s="173"/>
      <c r="G509" s="116" t="s">
        <v>244</v>
      </c>
      <c r="H509" s="116" t="s">
        <v>244</v>
      </c>
      <c r="I509" s="113"/>
      <c r="J509" s="117" t="s">
        <v>244</v>
      </c>
      <c r="K509" s="118"/>
      <c r="L509" s="119">
        <v>0</v>
      </c>
      <c r="M509" s="120" t="s">
        <v>244</v>
      </c>
      <c r="N509" s="121" t="s">
        <v>244</v>
      </c>
      <c r="O509" s="122" t="s">
        <v>244</v>
      </c>
      <c r="P509" s="123" t="s">
        <v>244</v>
      </c>
      <c r="Q509" s="124"/>
      <c r="R509" s="135"/>
      <c r="S509" s="136"/>
      <c r="T509" s="137"/>
      <c r="U509" s="138" t="s">
        <v>244</v>
      </c>
      <c r="V509" s="138" t="s">
        <v>244</v>
      </c>
      <c r="W509" s="139" t="s">
        <v>244</v>
      </c>
      <c r="X509" s="139" t="s">
        <v>244</v>
      </c>
      <c r="Y509" s="54">
        <v>0</v>
      </c>
    </row>
    <row r="510" spans="2:25" s="49" customFormat="1" ht="15.75" x14ac:dyDescent="0.25">
      <c r="B510" s="133"/>
      <c r="C510" s="134"/>
      <c r="D510" s="113"/>
      <c r="E510" s="114"/>
      <c r="F510" s="173"/>
      <c r="G510" s="116" t="s">
        <v>244</v>
      </c>
      <c r="H510" s="116" t="s">
        <v>244</v>
      </c>
      <c r="I510" s="113"/>
      <c r="J510" s="117" t="s">
        <v>244</v>
      </c>
      <c r="K510" s="118"/>
      <c r="L510" s="119">
        <v>0</v>
      </c>
      <c r="M510" s="120" t="s">
        <v>244</v>
      </c>
      <c r="N510" s="121" t="s">
        <v>244</v>
      </c>
      <c r="O510" s="122" t="s">
        <v>244</v>
      </c>
      <c r="P510" s="123" t="s">
        <v>244</v>
      </c>
      <c r="Q510" s="124"/>
      <c r="R510" s="135"/>
      <c r="S510" s="136"/>
      <c r="T510" s="137"/>
      <c r="U510" s="138" t="s">
        <v>244</v>
      </c>
      <c r="V510" s="138" t="s">
        <v>244</v>
      </c>
      <c r="W510" s="139" t="s">
        <v>244</v>
      </c>
      <c r="X510" s="139" t="s">
        <v>244</v>
      </c>
      <c r="Y510" s="54">
        <v>0</v>
      </c>
    </row>
    <row r="511" spans="2:25" s="49" customFormat="1" ht="15.75" x14ac:dyDescent="0.25">
      <c r="B511" s="133"/>
      <c r="C511" s="134"/>
      <c r="D511" s="113"/>
      <c r="E511" s="114"/>
      <c r="F511" s="173"/>
      <c r="G511" s="116" t="s">
        <v>244</v>
      </c>
      <c r="H511" s="116" t="s">
        <v>244</v>
      </c>
      <c r="I511" s="113"/>
      <c r="J511" s="117" t="s">
        <v>244</v>
      </c>
      <c r="K511" s="118"/>
      <c r="L511" s="119">
        <v>0</v>
      </c>
      <c r="M511" s="120" t="s">
        <v>244</v>
      </c>
      <c r="N511" s="121" t="s">
        <v>244</v>
      </c>
      <c r="O511" s="122" t="s">
        <v>244</v>
      </c>
      <c r="P511" s="123" t="s">
        <v>244</v>
      </c>
      <c r="Q511" s="124"/>
      <c r="R511" s="135"/>
      <c r="S511" s="136"/>
      <c r="T511" s="137"/>
      <c r="U511" s="138" t="s">
        <v>244</v>
      </c>
      <c r="V511" s="138" t="s">
        <v>244</v>
      </c>
      <c r="W511" s="139" t="s">
        <v>244</v>
      </c>
      <c r="X511" s="139" t="s">
        <v>244</v>
      </c>
      <c r="Y511" s="54">
        <v>0</v>
      </c>
    </row>
    <row r="512" spans="2:25" s="49" customFormat="1" ht="15.75" x14ac:dyDescent="0.25">
      <c r="B512" s="133"/>
      <c r="C512" s="134"/>
      <c r="D512" s="113"/>
      <c r="E512" s="114"/>
      <c r="F512" s="173"/>
      <c r="G512" s="116" t="s">
        <v>244</v>
      </c>
      <c r="H512" s="116" t="s">
        <v>244</v>
      </c>
      <c r="I512" s="113"/>
      <c r="J512" s="117" t="s">
        <v>244</v>
      </c>
      <c r="K512" s="118"/>
      <c r="L512" s="119">
        <v>0</v>
      </c>
      <c r="M512" s="120" t="s">
        <v>244</v>
      </c>
      <c r="N512" s="121" t="s">
        <v>244</v>
      </c>
      <c r="O512" s="122" t="s">
        <v>244</v>
      </c>
      <c r="P512" s="123" t="s">
        <v>244</v>
      </c>
      <c r="Q512" s="124"/>
      <c r="R512" s="135"/>
      <c r="S512" s="136"/>
      <c r="T512" s="137"/>
      <c r="U512" s="138" t="s">
        <v>244</v>
      </c>
      <c r="V512" s="138" t="s">
        <v>244</v>
      </c>
      <c r="W512" s="139" t="s">
        <v>244</v>
      </c>
      <c r="X512" s="139" t="s">
        <v>244</v>
      </c>
      <c r="Y512" s="54">
        <v>0</v>
      </c>
    </row>
    <row r="513" spans="2:25" s="49" customFormat="1" ht="15.75" x14ac:dyDescent="0.25">
      <c r="B513" s="133"/>
      <c r="C513" s="134"/>
      <c r="D513" s="113"/>
      <c r="E513" s="114"/>
      <c r="F513" s="173"/>
      <c r="G513" s="116" t="s">
        <v>244</v>
      </c>
      <c r="H513" s="116" t="s">
        <v>244</v>
      </c>
      <c r="I513" s="113"/>
      <c r="J513" s="117" t="s">
        <v>244</v>
      </c>
      <c r="K513" s="118"/>
      <c r="L513" s="119">
        <v>0</v>
      </c>
      <c r="M513" s="120" t="s">
        <v>244</v>
      </c>
      <c r="N513" s="121" t="s">
        <v>244</v>
      </c>
      <c r="O513" s="122" t="s">
        <v>244</v>
      </c>
      <c r="P513" s="123" t="s">
        <v>244</v>
      </c>
      <c r="Q513" s="124"/>
      <c r="R513" s="135"/>
      <c r="S513" s="136"/>
      <c r="T513" s="137"/>
      <c r="U513" s="138" t="s">
        <v>244</v>
      </c>
      <c r="V513" s="138" t="s">
        <v>244</v>
      </c>
      <c r="W513" s="139" t="s">
        <v>244</v>
      </c>
      <c r="X513" s="139" t="s">
        <v>244</v>
      </c>
      <c r="Y513" s="54">
        <v>0</v>
      </c>
    </row>
    <row r="514" spans="2:25" s="49" customFormat="1" ht="15.75" x14ac:dyDescent="0.25">
      <c r="B514" s="133"/>
      <c r="C514" s="134"/>
      <c r="D514" s="113"/>
      <c r="E514" s="114"/>
      <c r="F514" s="173"/>
      <c r="G514" s="116" t="s">
        <v>244</v>
      </c>
      <c r="H514" s="116" t="s">
        <v>244</v>
      </c>
      <c r="I514" s="113"/>
      <c r="J514" s="117" t="s">
        <v>244</v>
      </c>
      <c r="K514" s="118"/>
      <c r="L514" s="119">
        <v>0</v>
      </c>
      <c r="M514" s="120" t="s">
        <v>244</v>
      </c>
      <c r="N514" s="121" t="s">
        <v>244</v>
      </c>
      <c r="O514" s="122" t="s">
        <v>244</v>
      </c>
      <c r="P514" s="123" t="s">
        <v>244</v>
      </c>
      <c r="Q514" s="124"/>
      <c r="R514" s="135"/>
      <c r="S514" s="136"/>
      <c r="T514" s="137"/>
      <c r="U514" s="138" t="s">
        <v>244</v>
      </c>
      <c r="V514" s="138" t="s">
        <v>244</v>
      </c>
      <c r="W514" s="139" t="s">
        <v>244</v>
      </c>
      <c r="X514" s="139" t="s">
        <v>244</v>
      </c>
      <c r="Y514" s="54">
        <v>0</v>
      </c>
    </row>
    <row r="515" spans="2:25" s="49" customFormat="1" ht="15.75" x14ac:dyDescent="0.25">
      <c r="B515" s="133"/>
      <c r="C515" s="134"/>
      <c r="D515" s="113"/>
      <c r="E515" s="114"/>
      <c r="F515" s="173"/>
      <c r="G515" s="116" t="s">
        <v>244</v>
      </c>
      <c r="H515" s="116" t="s">
        <v>244</v>
      </c>
      <c r="I515" s="113"/>
      <c r="J515" s="117" t="s">
        <v>244</v>
      </c>
      <c r="K515" s="118"/>
      <c r="L515" s="119">
        <v>0</v>
      </c>
      <c r="M515" s="120" t="s">
        <v>244</v>
      </c>
      <c r="N515" s="121" t="s">
        <v>244</v>
      </c>
      <c r="O515" s="122" t="s">
        <v>244</v>
      </c>
      <c r="P515" s="123" t="s">
        <v>244</v>
      </c>
      <c r="Q515" s="124"/>
      <c r="R515" s="135"/>
      <c r="S515" s="136"/>
      <c r="T515" s="137"/>
      <c r="U515" s="138" t="s">
        <v>244</v>
      </c>
      <c r="V515" s="138" t="s">
        <v>244</v>
      </c>
      <c r="W515" s="139" t="s">
        <v>244</v>
      </c>
      <c r="X515" s="139" t="s">
        <v>244</v>
      </c>
      <c r="Y515" s="54">
        <v>0</v>
      </c>
    </row>
    <row r="516" spans="2:25" s="49" customFormat="1" ht="15.75" x14ac:dyDescent="0.25">
      <c r="B516" s="133"/>
      <c r="C516" s="134"/>
      <c r="D516" s="113"/>
      <c r="E516" s="114"/>
      <c r="F516" s="173"/>
      <c r="G516" s="116" t="s">
        <v>244</v>
      </c>
      <c r="H516" s="116" t="s">
        <v>244</v>
      </c>
      <c r="I516" s="113"/>
      <c r="J516" s="117" t="s">
        <v>244</v>
      </c>
      <c r="K516" s="118"/>
      <c r="L516" s="119">
        <v>0</v>
      </c>
      <c r="M516" s="120" t="s">
        <v>244</v>
      </c>
      <c r="N516" s="121" t="s">
        <v>244</v>
      </c>
      <c r="O516" s="122" t="s">
        <v>244</v>
      </c>
      <c r="P516" s="123" t="s">
        <v>244</v>
      </c>
      <c r="Q516" s="124"/>
      <c r="R516" s="135"/>
      <c r="S516" s="136"/>
      <c r="T516" s="137"/>
      <c r="U516" s="138" t="s">
        <v>244</v>
      </c>
      <c r="V516" s="138" t="s">
        <v>244</v>
      </c>
      <c r="W516" s="139" t="s">
        <v>244</v>
      </c>
      <c r="X516" s="139" t="s">
        <v>244</v>
      </c>
      <c r="Y516" s="54">
        <v>0</v>
      </c>
    </row>
    <row r="517" spans="2:25" s="49" customFormat="1" ht="15.75" x14ac:dyDescent="0.25">
      <c r="B517" s="133"/>
      <c r="C517" s="134"/>
      <c r="D517" s="113"/>
      <c r="E517" s="114"/>
      <c r="F517" s="173"/>
      <c r="G517" s="116" t="s">
        <v>244</v>
      </c>
      <c r="H517" s="116" t="s">
        <v>244</v>
      </c>
      <c r="I517" s="113"/>
      <c r="J517" s="117" t="s">
        <v>244</v>
      </c>
      <c r="K517" s="118"/>
      <c r="L517" s="119">
        <v>0</v>
      </c>
      <c r="M517" s="120" t="s">
        <v>244</v>
      </c>
      <c r="N517" s="121" t="s">
        <v>244</v>
      </c>
      <c r="O517" s="122" t="s">
        <v>244</v>
      </c>
      <c r="P517" s="123" t="s">
        <v>244</v>
      </c>
      <c r="Q517" s="124"/>
      <c r="R517" s="135"/>
      <c r="S517" s="136"/>
      <c r="T517" s="137"/>
      <c r="U517" s="138" t="s">
        <v>244</v>
      </c>
      <c r="V517" s="138" t="s">
        <v>244</v>
      </c>
      <c r="W517" s="139" t="s">
        <v>244</v>
      </c>
      <c r="X517" s="139" t="s">
        <v>244</v>
      </c>
      <c r="Y517" s="54">
        <v>0</v>
      </c>
    </row>
    <row r="518" spans="2:25" s="49" customFormat="1" ht="15.75" x14ac:dyDescent="0.25">
      <c r="B518" s="133"/>
      <c r="C518" s="134"/>
      <c r="D518" s="113"/>
      <c r="E518" s="114"/>
      <c r="F518" s="173"/>
      <c r="G518" s="116" t="s">
        <v>244</v>
      </c>
      <c r="H518" s="116" t="s">
        <v>244</v>
      </c>
      <c r="I518" s="113"/>
      <c r="J518" s="117" t="s">
        <v>244</v>
      </c>
      <c r="K518" s="118"/>
      <c r="L518" s="119">
        <v>0</v>
      </c>
      <c r="M518" s="120" t="s">
        <v>244</v>
      </c>
      <c r="N518" s="121" t="s">
        <v>244</v>
      </c>
      <c r="O518" s="122" t="s">
        <v>244</v>
      </c>
      <c r="P518" s="123" t="s">
        <v>244</v>
      </c>
      <c r="Q518" s="124"/>
      <c r="R518" s="135"/>
      <c r="S518" s="136"/>
      <c r="T518" s="137"/>
      <c r="U518" s="138" t="s">
        <v>244</v>
      </c>
      <c r="V518" s="138" t="s">
        <v>244</v>
      </c>
      <c r="W518" s="139" t="s">
        <v>244</v>
      </c>
      <c r="X518" s="139" t="s">
        <v>244</v>
      </c>
      <c r="Y518" s="54">
        <v>0</v>
      </c>
    </row>
    <row r="519" spans="2:25" s="49" customFormat="1" ht="15.75" x14ac:dyDescent="0.25">
      <c r="B519" s="133"/>
      <c r="C519" s="134"/>
      <c r="D519" s="113"/>
      <c r="E519" s="114"/>
      <c r="F519" s="173"/>
      <c r="G519" s="116" t="s">
        <v>244</v>
      </c>
      <c r="H519" s="116" t="s">
        <v>244</v>
      </c>
      <c r="I519" s="113"/>
      <c r="J519" s="117" t="s">
        <v>244</v>
      </c>
      <c r="K519" s="118"/>
      <c r="L519" s="119">
        <v>0</v>
      </c>
      <c r="M519" s="120" t="s">
        <v>244</v>
      </c>
      <c r="N519" s="121" t="s">
        <v>244</v>
      </c>
      <c r="O519" s="122" t="s">
        <v>244</v>
      </c>
      <c r="P519" s="123" t="s">
        <v>244</v>
      </c>
      <c r="Q519" s="124"/>
      <c r="R519" s="135"/>
      <c r="S519" s="136"/>
      <c r="T519" s="137"/>
      <c r="U519" s="138" t="s">
        <v>244</v>
      </c>
      <c r="V519" s="138" t="s">
        <v>244</v>
      </c>
      <c r="W519" s="139" t="s">
        <v>244</v>
      </c>
      <c r="X519" s="139" t="s">
        <v>244</v>
      </c>
      <c r="Y519" s="54">
        <v>0</v>
      </c>
    </row>
    <row r="520" spans="2:25" s="49" customFormat="1" ht="15.75" x14ac:dyDescent="0.25">
      <c r="B520" s="133"/>
      <c r="C520" s="134"/>
      <c r="D520" s="113"/>
      <c r="E520" s="114"/>
      <c r="F520" s="173"/>
      <c r="G520" s="116" t="s">
        <v>244</v>
      </c>
      <c r="H520" s="116" t="s">
        <v>244</v>
      </c>
      <c r="I520" s="113"/>
      <c r="J520" s="117" t="s">
        <v>244</v>
      </c>
      <c r="K520" s="118"/>
      <c r="L520" s="119">
        <v>0</v>
      </c>
      <c r="M520" s="120" t="s">
        <v>244</v>
      </c>
      <c r="N520" s="121" t="s">
        <v>244</v>
      </c>
      <c r="O520" s="122" t="s">
        <v>244</v>
      </c>
      <c r="P520" s="123" t="s">
        <v>244</v>
      </c>
      <c r="Q520" s="124"/>
      <c r="R520" s="135"/>
      <c r="S520" s="136"/>
      <c r="T520" s="137"/>
      <c r="U520" s="138" t="s">
        <v>244</v>
      </c>
      <c r="V520" s="138" t="s">
        <v>244</v>
      </c>
      <c r="W520" s="139" t="s">
        <v>244</v>
      </c>
      <c r="X520" s="139" t="s">
        <v>244</v>
      </c>
      <c r="Y520" s="54">
        <v>0</v>
      </c>
    </row>
    <row r="521" spans="2:25" s="49" customFormat="1" ht="15.75" x14ac:dyDescent="0.25">
      <c r="B521" s="133"/>
      <c r="C521" s="134"/>
      <c r="D521" s="113"/>
      <c r="E521" s="114"/>
      <c r="F521" s="173"/>
      <c r="G521" s="116" t="s">
        <v>244</v>
      </c>
      <c r="H521" s="116" t="s">
        <v>244</v>
      </c>
      <c r="I521" s="113"/>
      <c r="J521" s="117" t="s">
        <v>244</v>
      </c>
      <c r="K521" s="118"/>
      <c r="L521" s="119">
        <v>0</v>
      </c>
      <c r="M521" s="120" t="s">
        <v>244</v>
      </c>
      <c r="N521" s="121" t="s">
        <v>244</v>
      </c>
      <c r="O521" s="122" t="s">
        <v>244</v>
      </c>
      <c r="P521" s="123" t="s">
        <v>244</v>
      </c>
      <c r="Q521" s="124"/>
      <c r="R521" s="135"/>
      <c r="S521" s="136"/>
      <c r="T521" s="137"/>
      <c r="U521" s="138" t="s">
        <v>244</v>
      </c>
      <c r="V521" s="138" t="s">
        <v>244</v>
      </c>
      <c r="W521" s="139" t="s">
        <v>244</v>
      </c>
      <c r="X521" s="139" t="s">
        <v>244</v>
      </c>
      <c r="Y521" s="54">
        <v>0</v>
      </c>
    </row>
    <row r="522" spans="2:25" s="49" customFormat="1" ht="15.75" x14ac:dyDescent="0.25">
      <c r="B522" s="133"/>
      <c r="C522" s="134"/>
      <c r="D522" s="113"/>
      <c r="E522" s="114"/>
      <c r="F522" s="173"/>
      <c r="G522" s="116" t="s">
        <v>244</v>
      </c>
      <c r="H522" s="116" t="s">
        <v>244</v>
      </c>
      <c r="I522" s="113"/>
      <c r="J522" s="117" t="s">
        <v>244</v>
      </c>
      <c r="K522" s="118"/>
      <c r="L522" s="119">
        <v>0</v>
      </c>
      <c r="M522" s="120" t="s">
        <v>244</v>
      </c>
      <c r="N522" s="121" t="s">
        <v>244</v>
      </c>
      <c r="O522" s="122" t="s">
        <v>244</v>
      </c>
      <c r="P522" s="123" t="s">
        <v>244</v>
      </c>
      <c r="Q522" s="124"/>
      <c r="R522" s="135"/>
      <c r="S522" s="136"/>
      <c r="T522" s="137"/>
      <c r="U522" s="138" t="s">
        <v>244</v>
      </c>
      <c r="V522" s="138" t="s">
        <v>244</v>
      </c>
      <c r="W522" s="139" t="s">
        <v>244</v>
      </c>
      <c r="X522" s="139" t="s">
        <v>244</v>
      </c>
      <c r="Y522" s="54">
        <v>0</v>
      </c>
    </row>
    <row r="523" spans="2:25" s="49" customFormat="1" ht="15.75" x14ac:dyDescent="0.25">
      <c r="B523" s="133"/>
      <c r="C523" s="134"/>
      <c r="D523" s="113"/>
      <c r="E523" s="114"/>
      <c r="F523" s="173"/>
      <c r="G523" s="116" t="s">
        <v>244</v>
      </c>
      <c r="H523" s="116" t="s">
        <v>244</v>
      </c>
      <c r="I523" s="113"/>
      <c r="J523" s="117" t="s">
        <v>244</v>
      </c>
      <c r="K523" s="118"/>
      <c r="L523" s="119">
        <v>0</v>
      </c>
      <c r="M523" s="120" t="s">
        <v>244</v>
      </c>
      <c r="N523" s="121" t="s">
        <v>244</v>
      </c>
      <c r="O523" s="122" t="s">
        <v>244</v>
      </c>
      <c r="P523" s="123" t="s">
        <v>244</v>
      </c>
      <c r="Q523" s="124"/>
      <c r="R523" s="135"/>
      <c r="S523" s="136"/>
      <c r="T523" s="137"/>
      <c r="U523" s="138" t="s">
        <v>244</v>
      </c>
      <c r="V523" s="138" t="s">
        <v>244</v>
      </c>
      <c r="W523" s="139" t="s">
        <v>244</v>
      </c>
      <c r="X523" s="139" t="s">
        <v>244</v>
      </c>
      <c r="Y523" s="54">
        <v>0</v>
      </c>
    </row>
    <row r="524" spans="2:25" s="49" customFormat="1" ht="15.75" x14ac:dyDescent="0.25">
      <c r="B524" s="133"/>
      <c r="C524" s="134"/>
      <c r="D524" s="113"/>
      <c r="E524" s="114"/>
      <c r="F524" s="173"/>
      <c r="G524" s="116" t="s">
        <v>244</v>
      </c>
      <c r="H524" s="116" t="s">
        <v>244</v>
      </c>
      <c r="I524" s="113"/>
      <c r="J524" s="117" t="s">
        <v>244</v>
      </c>
      <c r="K524" s="118"/>
      <c r="L524" s="119">
        <v>0</v>
      </c>
      <c r="M524" s="120" t="s">
        <v>244</v>
      </c>
      <c r="N524" s="121" t="s">
        <v>244</v>
      </c>
      <c r="O524" s="122" t="s">
        <v>244</v>
      </c>
      <c r="P524" s="123" t="s">
        <v>244</v>
      </c>
      <c r="Q524" s="124"/>
      <c r="R524" s="135"/>
      <c r="S524" s="136"/>
      <c r="T524" s="137"/>
      <c r="U524" s="138" t="s">
        <v>244</v>
      </c>
      <c r="V524" s="138" t="s">
        <v>244</v>
      </c>
      <c r="W524" s="139" t="s">
        <v>244</v>
      </c>
      <c r="X524" s="139" t="s">
        <v>244</v>
      </c>
      <c r="Y524" s="54">
        <v>0</v>
      </c>
    </row>
    <row r="525" spans="2:25" s="49" customFormat="1" ht="15.75" x14ac:dyDescent="0.25">
      <c r="B525" s="133"/>
      <c r="C525" s="134"/>
      <c r="D525" s="113"/>
      <c r="E525" s="114"/>
      <c r="F525" s="173"/>
      <c r="G525" s="116" t="s">
        <v>244</v>
      </c>
      <c r="H525" s="116" t="s">
        <v>244</v>
      </c>
      <c r="I525" s="113"/>
      <c r="J525" s="117" t="s">
        <v>244</v>
      </c>
      <c r="K525" s="118"/>
      <c r="L525" s="119">
        <v>0</v>
      </c>
      <c r="M525" s="120" t="s">
        <v>244</v>
      </c>
      <c r="N525" s="121" t="s">
        <v>244</v>
      </c>
      <c r="O525" s="122" t="s">
        <v>244</v>
      </c>
      <c r="P525" s="123" t="s">
        <v>244</v>
      </c>
      <c r="Q525" s="124"/>
      <c r="R525" s="135"/>
      <c r="S525" s="136"/>
      <c r="T525" s="137"/>
      <c r="U525" s="138" t="s">
        <v>244</v>
      </c>
      <c r="V525" s="138" t="s">
        <v>244</v>
      </c>
      <c r="W525" s="139" t="s">
        <v>244</v>
      </c>
      <c r="X525" s="139" t="s">
        <v>244</v>
      </c>
      <c r="Y525" s="54">
        <v>0</v>
      </c>
    </row>
    <row r="526" spans="2:25" s="49" customFormat="1" ht="15.75" x14ac:dyDescent="0.25">
      <c r="B526" s="133"/>
      <c r="C526" s="134"/>
      <c r="D526" s="113"/>
      <c r="E526" s="114"/>
      <c r="F526" s="173"/>
      <c r="G526" s="116" t="s">
        <v>244</v>
      </c>
      <c r="H526" s="116" t="s">
        <v>244</v>
      </c>
      <c r="I526" s="113"/>
      <c r="J526" s="117" t="s">
        <v>244</v>
      </c>
      <c r="K526" s="118"/>
      <c r="L526" s="119">
        <v>0</v>
      </c>
      <c r="M526" s="120" t="s">
        <v>244</v>
      </c>
      <c r="N526" s="121" t="s">
        <v>244</v>
      </c>
      <c r="O526" s="122" t="s">
        <v>244</v>
      </c>
      <c r="P526" s="123" t="s">
        <v>244</v>
      </c>
      <c r="Q526" s="124"/>
      <c r="R526" s="135"/>
      <c r="S526" s="136"/>
      <c r="T526" s="137"/>
      <c r="U526" s="138" t="s">
        <v>244</v>
      </c>
      <c r="V526" s="138" t="s">
        <v>244</v>
      </c>
      <c r="W526" s="139" t="s">
        <v>244</v>
      </c>
      <c r="X526" s="139" t="s">
        <v>244</v>
      </c>
      <c r="Y526" s="54">
        <v>0</v>
      </c>
    </row>
    <row r="527" spans="2:25" s="49" customFormat="1" ht="15.75" x14ac:dyDescent="0.25">
      <c r="B527" s="133"/>
      <c r="C527" s="134"/>
      <c r="D527" s="113"/>
      <c r="E527" s="114"/>
      <c r="F527" s="173"/>
      <c r="G527" s="116" t="s">
        <v>244</v>
      </c>
      <c r="H527" s="116" t="s">
        <v>244</v>
      </c>
      <c r="I527" s="113"/>
      <c r="J527" s="117" t="s">
        <v>244</v>
      </c>
      <c r="K527" s="118"/>
      <c r="L527" s="119">
        <v>0</v>
      </c>
      <c r="M527" s="120" t="s">
        <v>244</v>
      </c>
      <c r="N527" s="121" t="s">
        <v>244</v>
      </c>
      <c r="O527" s="122" t="s">
        <v>244</v>
      </c>
      <c r="P527" s="123" t="s">
        <v>244</v>
      </c>
      <c r="Q527" s="124"/>
      <c r="R527" s="135"/>
      <c r="S527" s="136"/>
      <c r="T527" s="137"/>
      <c r="U527" s="138" t="s">
        <v>244</v>
      </c>
      <c r="V527" s="138" t="s">
        <v>244</v>
      </c>
      <c r="W527" s="139" t="s">
        <v>244</v>
      </c>
      <c r="X527" s="139" t="s">
        <v>244</v>
      </c>
      <c r="Y527" s="54">
        <v>0</v>
      </c>
    </row>
    <row r="528" spans="2:25" s="49" customFormat="1" ht="15.75" x14ac:dyDescent="0.25">
      <c r="B528" s="133"/>
      <c r="C528" s="134"/>
      <c r="D528" s="113"/>
      <c r="E528" s="114"/>
      <c r="F528" s="173"/>
      <c r="G528" s="116" t="s">
        <v>244</v>
      </c>
      <c r="H528" s="116" t="s">
        <v>244</v>
      </c>
      <c r="I528" s="113"/>
      <c r="J528" s="117" t="s">
        <v>244</v>
      </c>
      <c r="K528" s="118"/>
      <c r="L528" s="119">
        <v>0</v>
      </c>
      <c r="M528" s="120" t="s">
        <v>244</v>
      </c>
      <c r="N528" s="121" t="s">
        <v>244</v>
      </c>
      <c r="O528" s="122" t="s">
        <v>244</v>
      </c>
      <c r="P528" s="123" t="s">
        <v>244</v>
      </c>
      <c r="Q528" s="124"/>
      <c r="R528" s="135"/>
      <c r="S528" s="136"/>
      <c r="T528" s="137"/>
      <c r="U528" s="138" t="s">
        <v>244</v>
      </c>
      <c r="V528" s="138" t="s">
        <v>244</v>
      </c>
      <c r="W528" s="139" t="s">
        <v>244</v>
      </c>
      <c r="X528" s="139" t="s">
        <v>244</v>
      </c>
      <c r="Y528" s="54">
        <v>0</v>
      </c>
    </row>
    <row r="529" spans="2:25" s="49" customFormat="1" ht="15.75" x14ac:dyDescent="0.25">
      <c r="B529" s="133"/>
      <c r="C529" s="134"/>
      <c r="D529" s="113"/>
      <c r="E529" s="114"/>
      <c r="F529" s="173"/>
      <c r="G529" s="116" t="s">
        <v>244</v>
      </c>
      <c r="H529" s="116" t="s">
        <v>244</v>
      </c>
      <c r="I529" s="113"/>
      <c r="J529" s="117" t="s">
        <v>244</v>
      </c>
      <c r="K529" s="118"/>
      <c r="L529" s="119">
        <v>0</v>
      </c>
      <c r="M529" s="120" t="s">
        <v>244</v>
      </c>
      <c r="N529" s="121" t="s">
        <v>244</v>
      </c>
      <c r="O529" s="122" t="s">
        <v>244</v>
      </c>
      <c r="P529" s="123" t="s">
        <v>244</v>
      </c>
      <c r="Q529" s="124"/>
      <c r="R529" s="135"/>
      <c r="S529" s="136"/>
      <c r="T529" s="137"/>
      <c r="U529" s="138" t="s">
        <v>244</v>
      </c>
      <c r="V529" s="138" t="s">
        <v>244</v>
      </c>
      <c r="W529" s="139" t="s">
        <v>244</v>
      </c>
      <c r="X529" s="139" t="s">
        <v>244</v>
      </c>
      <c r="Y529" s="54">
        <v>0</v>
      </c>
    </row>
    <row r="530" spans="2:25" s="49" customFormat="1" ht="15.75" x14ac:dyDescent="0.25">
      <c r="B530" s="133"/>
      <c r="C530" s="134"/>
      <c r="D530" s="113"/>
      <c r="E530" s="114"/>
      <c r="F530" s="173"/>
      <c r="G530" s="116" t="s">
        <v>244</v>
      </c>
      <c r="H530" s="116" t="s">
        <v>244</v>
      </c>
      <c r="I530" s="113"/>
      <c r="J530" s="117" t="s">
        <v>244</v>
      </c>
      <c r="K530" s="118"/>
      <c r="L530" s="119">
        <v>0</v>
      </c>
      <c r="M530" s="120" t="s">
        <v>244</v>
      </c>
      <c r="N530" s="121" t="s">
        <v>244</v>
      </c>
      <c r="O530" s="122" t="s">
        <v>244</v>
      </c>
      <c r="P530" s="123" t="s">
        <v>244</v>
      </c>
      <c r="Q530" s="124"/>
      <c r="R530" s="135"/>
      <c r="S530" s="136"/>
      <c r="T530" s="137"/>
      <c r="U530" s="138" t="s">
        <v>244</v>
      </c>
      <c r="V530" s="138" t="s">
        <v>244</v>
      </c>
      <c r="W530" s="139" t="s">
        <v>244</v>
      </c>
      <c r="X530" s="139" t="s">
        <v>244</v>
      </c>
      <c r="Y530" s="54">
        <v>0</v>
      </c>
    </row>
    <row r="531" spans="2:25" s="49" customFormat="1" ht="15.75" x14ac:dyDescent="0.25">
      <c r="B531" s="133"/>
      <c r="C531" s="134"/>
      <c r="D531" s="113"/>
      <c r="E531" s="114"/>
      <c r="F531" s="173"/>
      <c r="G531" s="116" t="s">
        <v>244</v>
      </c>
      <c r="H531" s="116" t="s">
        <v>244</v>
      </c>
      <c r="I531" s="113"/>
      <c r="J531" s="117" t="s">
        <v>244</v>
      </c>
      <c r="K531" s="118"/>
      <c r="L531" s="119">
        <v>0</v>
      </c>
      <c r="M531" s="120" t="s">
        <v>244</v>
      </c>
      <c r="N531" s="121" t="s">
        <v>244</v>
      </c>
      <c r="O531" s="122" t="s">
        <v>244</v>
      </c>
      <c r="P531" s="123" t="s">
        <v>244</v>
      </c>
      <c r="Q531" s="124"/>
      <c r="R531" s="135"/>
      <c r="S531" s="136"/>
      <c r="T531" s="137"/>
      <c r="U531" s="138" t="s">
        <v>244</v>
      </c>
      <c r="V531" s="138" t="s">
        <v>244</v>
      </c>
      <c r="W531" s="139" t="s">
        <v>244</v>
      </c>
      <c r="X531" s="139" t="s">
        <v>244</v>
      </c>
      <c r="Y531" s="54">
        <v>0</v>
      </c>
    </row>
    <row r="532" spans="2:25" s="49" customFormat="1" ht="15.75" x14ac:dyDescent="0.25">
      <c r="B532" s="133"/>
      <c r="C532" s="134"/>
      <c r="D532" s="113"/>
      <c r="E532" s="114"/>
      <c r="F532" s="173"/>
      <c r="G532" s="116" t="s">
        <v>244</v>
      </c>
      <c r="H532" s="116" t="s">
        <v>244</v>
      </c>
      <c r="I532" s="113"/>
      <c r="J532" s="117" t="s">
        <v>244</v>
      </c>
      <c r="K532" s="118"/>
      <c r="L532" s="119">
        <v>0</v>
      </c>
      <c r="M532" s="120" t="s">
        <v>244</v>
      </c>
      <c r="N532" s="121" t="s">
        <v>244</v>
      </c>
      <c r="O532" s="122" t="s">
        <v>244</v>
      </c>
      <c r="P532" s="123" t="s">
        <v>244</v>
      </c>
      <c r="Q532" s="124"/>
      <c r="R532" s="135"/>
      <c r="S532" s="136"/>
      <c r="T532" s="137"/>
      <c r="U532" s="138" t="s">
        <v>244</v>
      </c>
      <c r="V532" s="138" t="s">
        <v>244</v>
      </c>
      <c r="W532" s="139" t="s">
        <v>244</v>
      </c>
      <c r="X532" s="139" t="s">
        <v>244</v>
      </c>
      <c r="Y532" s="54">
        <v>0</v>
      </c>
    </row>
    <row r="533" spans="2:25" s="49" customFormat="1" ht="15.75" x14ac:dyDescent="0.25">
      <c r="B533" s="133"/>
      <c r="C533" s="134"/>
      <c r="D533" s="113"/>
      <c r="E533" s="114"/>
      <c r="F533" s="173"/>
      <c r="G533" s="116" t="s">
        <v>244</v>
      </c>
      <c r="H533" s="116" t="s">
        <v>244</v>
      </c>
      <c r="I533" s="113"/>
      <c r="J533" s="117" t="s">
        <v>244</v>
      </c>
      <c r="K533" s="118"/>
      <c r="L533" s="119">
        <v>0</v>
      </c>
      <c r="M533" s="120" t="s">
        <v>244</v>
      </c>
      <c r="N533" s="121" t="s">
        <v>244</v>
      </c>
      <c r="O533" s="122" t="s">
        <v>244</v>
      </c>
      <c r="P533" s="123" t="s">
        <v>244</v>
      </c>
      <c r="Q533" s="124"/>
      <c r="R533" s="135"/>
      <c r="S533" s="136"/>
      <c r="T533" s="137"/>
      <c r="U533" s="138" t="s">
        <v>244</v>
      </c>
      <c r="V533" s="138" t="s">
        <v>244</v>
      </c>
      <c r="W533" s="139" t="s">
        <v>244</v>
      </c>
      <c r="X533" s="139" t="s">
        <v>244</v>
      </c>
      <c r="Y533" s="54">
        <v>0</v>
      </c>
    </row>
    <row r="534" spans="2:25" s="49" customFormat="1" ht="15.75" x14ac:dyDescent="0.25">
      <c r="B534" s="133"/>
      <c r="C534" s="134"/>
      <c r="D534" s="113"/>
      <c r="E534" s="114"/>
      <c r="F534" s="173"/>
      <c r="G534" s="116" t="s">
        <v>244</v>
      </c>
      <c r="H534" s="116" t="s">
        <v>244</v>
      </c>
      <c r="I534" s="113"/>
      <c r="J534" s="117" t="s">
        <v>244</v>
      </c>
      <c r="K534" s="118"/>
      <c r="L534" s="119">
        <v>0</v>
      </c>
      <c r="M534" s="120" t="s">
        <v>244</v>
      </c>
      <c r="N534" s="121" t="s">
        <v>244</v>
      </c>
      <c r="O534" s="122" t="s">
        <v>244</v>
      </c>
      <c r="P534" s="123" t="s">
        <v>244</v>
      </c>
      <c r="Q534" s="124"/>
      <c r="R534" s="135"/>
      <c r="S534" s="136"/>
      <c r="T534" s="137"/>
      <c r="U534" s="138" t="s">
        <v>244</v>
      </c>
      <c r="V534" s="138" t="s">
        <v>244</v>
      </c>
      <c r="W534" s="139" t="s">
        <v>244</v>
      </c>
      <c r="X534" s="139" t="s">
        <v>244</v>
      </c>
      <c r="Y534" s="54">
        <v>0</v>
      </c>
    </row>
    <row r="535" spans="2:25" s="49" customFormat="1" ht="15.75" x14ac:dyDescent="0.25">
      <c r="B535" s="133"/>
      <c r="C535" s="134"/>
      <c r="D535" s="113"/>
      <c r="E535" s="114"/>
      <c r="F535" s="173"/>
      <c r="G535" s="116" t="s">
        <v>244</v>
      </c>
      <c r="H535" s="116" t="s">
        <v>244</v>
      </c>
      <c r="I535" s="113"/>
      <c r="J535" s="117" t="s">
        <v>244</v>
      </c>
      <c r="K535" s="118"/>
      <c r="L535" s="119">
        <v>0</v>
      </c>
      <c r="M535" s="120" t="s">
        <v>244</v>
      </c>
      <c r="N535" s="121" t="s">
        <v>244</v>
      </c>
      <c r="O535" s="122" t="s">
        <v>244</v>
      </c>
      <c r="P535" s="123" t="s">
        <v>244</v>
      </c>
      <c r="Q535" s="124"/>
      <c r="R535" s="135"/>
      <c r="S535" s="136"/>
      <c r="T535" s="137"/>
      <c r="U535" s="138" t="s">
        <v>244</v>
      </c>
      <c r="V535" s="138" t="s">
        <v>244</v>
      </c>
      <c r="W535" s="139" t="s">
        <v>244</v>
      </c>
      <c r="X535" s="139" t="s">
        <v>244</v>
      </c>
      <c r="Y535" s="54">
        <v>0</v>
      </c>
    </row>
    <row r="536" spans="2:25" s="49" customFormat="1" ht="15.75" x14ac:dyDescent="0.25">
      <c r="B536" s="133"/>
      <c r="C536" s="134"/>
      <c r="D536" s="113"/>
      <c r="E536" s="114"/>
      <c r="F536" s="173"/>
      <c r="G536" s="116" t="s">
        <v>244</v>
      </c>
      <c r="H536" s="116" t="s">
        <v>244</v>
      </c>
      <c r="I536" s="113"/>
      <c r="J536" s="117" t="s">
        <v>244</v>
      </c>
      <c r="K536" s="118"/>
      <c r="L536" s="119">
        <v>0</v>
      </c>
      <c r="M536" s="120" t="s">
        <v>244</v>
      </c>
      <c r="N536" s="121" t="s">
        <v>244</v>
      </c>
      <c r="O536" s="122" t="s">
        <v>244</v>
      </c>
      <c r="P536" s="123" t="s">
        <v>244</v>
      </c>
      <c r="Q536" s="124"/>
      <c r="R536" s="135"/>
      <c r="S536" s="136"/>
      <c r="T536" s="137"/>
      <c r="U536" s="138" t="s">
        <v>244</v>
      </c>
      <c r="V536" s="138" t="s">
        <v>244</v>
      </c>
      <c r="W536" s="139" t="s">
        <v>244</v>
      </c>
      <c r="X536" s="139" t="s">
        <v>244</v>
      </c>
      <c r="Y536" s="54">
        <v>0</v>
      </c>
    </row>
    <row r="537" spans="2:25" s="49" customFormat="1" ht="15.75" x14ac:dyDescent="0.25">
      <c r="B537" s="133"/>
      <c r="C537" s="134"/>
      <c r="D537" s="113"/>
      <c r="E537" s="114"/>
      <c r="F537" s="173"/>
      <c r="G537" s="116" t="s">
        <v>244</v>
      </c>
      <c r="H537" s="116" t="s">
        <v>244</v>
      </c>
      <c r="I537" s="113"/>
      <c r="J537" s="117" t="s">
        <v>244</v>
      </c>
      <c r="K537" s="118"/>
      <c r="L537" s="119">
        <v>0</v>
      </c>
      <c r="M537" s="120" t="s">
        <v>244</v>
      </c>
      <c r="N537" s="121" t="s">
        <v>244</v>
      </c>
      <c r="O537" s="122" t="s">
        <v>244</v>
      </c>
      <c r="P537" s="123" t="s">
        <v>244</v>
      </c>
      <c r="Q537" s="124"/>
      <c r="R537" s="135"/>
      <c r="S537" s="136"/>
      <c r="T537" s="137"/>
      <c r="U537" s="138" t="s">
        <v>244</v>
      </c>
      <c r="V537" s="138" t="s">
        <v>244</v>
      </c>
      <c r="W537" s="139" t="s">
        <v>244</v>
      </c>
      <c r="X537" s="139" t="s">
        <v>244</v>
      </c>
      <c r="Y537" s="54">
        <v>0</v>
      </c>
    </row>
    <row r="538" spans="2:25" s="49" customFormat="1" ht="15.75" x14ac:dyDescent="0.25">
      <c r="B538" s="133"/>
      <c r="C538" s="134"/>
      <c r="D538" s="113"/>
      <c r="E538" s="114"/>
      <c r="F538" s="173"/>
      <c r="G538" s="116" t="s">
        <v>244</v>
      </c>
      <c r="H538" s="116" t="s">
        <v>244</v>
      </c>
      <c r="I538" s="113"/>
      <c r="J538" s="117" t="s">
        <v>244</v>
      </c>
      <c r="K538" s="118"/>
      <c r="L538" s="119">
        <v>0</v>
      </c>
      <c r="M538" s="120" t="s">
        <v>244</v>
      </c>
      <c r="N538" s="121" t="s">
        <v>244</v>
      </c>
      <c r="O538" s="122" t="s">
        <v>244</v>
      </c>
      <c r="P538" s="123" t="s">
        <v>244</v>
      </c>
      <c r="Q538" s="124"/>
      <c r="R538" s="135"/>
      <c r="S538" s="136"/>
      <c r="T538" s="137"/>
      <c r="U538" s="138" t="s">
        <v>244</v>
      </c>
      <c r="V538" s="138" t="s">
        <v>244</v>
      </c>
      <c r="W538" s="139" t="s">
        <v>244</v>
      </c>
      <c r="X538" s="139" t="s">
        <v>244</v>
      </c>
      <c r="Y538" s="54">
        <v>0</v>
      </c>
    </row>
    <row r="539" spans="2:25" s="49" customFormat="1" ht="15.75" x14ac:dyDescent="0.25">
      <c r="B539" s="133"/>
      <c r="C539" s="134"/>
      <c r="D539" s="113"/>
      <c r="E539" s="114"/>
      <c r="F539" s="173"/>
      <c r="G539" s="116" t="s">
        <v>244</v>
      </c>
      <c r="H539" s="116" t="s">
        <v>244</v>
      </c>
      <c r="I539" s="113"/>
      <c r="J539" s="117" t="s">
        <v>244</v>
      </c>
      <c r="K539" s="118"/>
      <c r="L539" s="119">
        <v>0</v>
      </c>
      <c r="M539" s="120" t="s">
        <v>244</v>
      </c>
      <c r="N539" s="121" t="s">
        <v>244</v>
      </c>
      <c r="O539" s="122" t="s">
        <v>244</v>
      </c>
      <c r="P539" s="123" t="s">
        <v>244</v>
      </c>
      <c r="Q539" s="124"/>
      <c r="R539" s="135"/>
      <c r="S539" s="136"/>
      <c r="T539" s="137"/>
      <c r="U539" s="138" t="s">
        <v>244</v>
      </c>
      <c r="V539" s="138" t="s">
        <v>244</v>
      </c>
      <c r="W539" s="139" t="s">
        <v>244</v>
      </c>
      <c r="X539" s="139" t="s">
        <v>244</v>
      </c>
      <c r="Y539" s="54">
        <v>0</v>
      </c>
    </row>
    <row r="540" spans="2:25" s="49" customFormat="1" ht="15.75" x14ac:dyDescent="0.25">
      <c r="B540" s="133"/>
      <c r="C540" s="134"/>
      <c r="D540" s="113"/>
      <c r="E540" s="114"/>
      <c r="F540" s="173"/>
      <c r="G540" s="116" t="s">
        <v>244</v>
      </c>
      <c r="H540" s="116" t="s">
        <v>244</v>
      </c>
      <c r="I540" s="113"/>
      <c r="J540" s="117" t="s">
        <v>244</v>
      </c>
      <c r="K540" s="118"/>
      <c r="L540" s="119">
        <v>0</v>
      </c>
      <c r="M540" s="120" t="s">
        <v>244</v>
      </c>
      <c r="N540" s="121" t="s">
        <v>244</v>
      </c>
      <c r="O540" s="122" t="s">
        <v>244</v>
      </c>
      <c r="P540" s="123" t="s">
        <v>244</v>
      </c>
      <c r="Q540" s="124"/>
      <c r="R540" s="135"/>
      <c r="S540" s="136"/>
      <c r="T540" s="137"/>
      <c r="U540" s="138" t="s">
        <v>244</v>
      </c>
      <c r="V540" s="138" t="s">
        <v>244</v>
      </c>
      <c r="W540" s="139" t="s">
        <v>244</v>
      </c>
      <c r="X540" s="139" t="s">
        <v>244</v>
      </c>
      <c r="Y540" s="54">
        <v>0</v>
      </c>
    </row>
    <row r="541" spans="2:25" s="49" customFormat="1" ht="15.75" x14ac:dyDescent="0.25">
      <c r="B541" s="133"/>
      <c r="C541" s="134"/>
      <c r="D541" s="113"/>
      <c r="E541" s="114"/>
      <c r="F541" s="173"/>
      <c r="G541" s="116" t="s">
        <v>244</v>
      </c>
      <c r="H541" s="116" t="s">
        <v>244</v>
      </c>
      <c r="I541" s="113"/>
      <c r="J541" s="117" t="s">
        <v>244</v>
      </c>
      <c r="K541" s="118"/>
      <c r="L541" s="119">
        <v>0</v>
      </c>
      <c r="M541" s="120" t="s">
        <v>244</v>
      </c>
      <c r="N541" s="121" t="s">
        <v>244</v>
      </c>
      <c r="O541" s="122" t="s">
        <v>244</v>
      </c>
      <c r="P541" s="123" t="s">
        <v>244</v>
      </c>
      <c r="Q541" s="124"/>
      <c r="R541" s="135"/>
      <c r="S541" s="136"/>
      <c r="T541" s="137"/>
      <c r="U541" s="138" t="s">
        <v>244</v>
      </c>
      <c r="V541" s="138" t="s">
        <v>244</v>
      </c>
      <c r="W541" s="139" t="s">
        <v>244</v>
      </c>
      <c r="X541" s="139" t="s">
        <v>244</v>
      </c>
      <c r="Y541" s="54">
        <v>0</v>
      </c>
    </row>
    <row r="542" spans="2:25" s="49" customFormat="1" ht="15.75" x14ac:dyDescent="0.25">
      <c r="B542" s="133"/>
      <c r="C542" s="134"/>
      <c r="D542" s="113"/>
      <c r="E542" s="114"/>
      <c r="F542" s="173"/>
      <c r="G542" s="116" t="s">
        <v>244</v>
      </c>
      <c r="H542" s="116" t="s">
        <v>244</v>
      </c>
      <c r="I542" s="113"/>
      <c r="J542" s="117" t="s">
        <v>244</v>
      </c>
      <c r="K542" s="118"/>
      <c r="L542" s="119">
        <v>0</v>
      </c>
      <c r="M542" s="120" t="s">
        <v>244</v>
      </c>
      <c r="N542" s="121" t="s">
        <v>244</v>
      </c>
      <c r="O542" s="122" t="s">
        <v>244</v>
      </c>
      <c r="P542" s="123" t="s">
        <v>244</v>
      </c>
      <c r="Q542" s="124"/>
      <c r="R542" s="135"/>
      <c r="S542" s="136"/>
      <c r="T542" s="137"/>
      <c r="U542" s="138" t="s">
        <v>244</v>
      </c>
      <c r="V542" s="138" t="s">
        <v>244</v>
      </c>
      <c r="W542" s="139" t="s">
        <v>244</v>
      </c>
      <c r="X542" s="139" t="s">
        <v>244</v>
      </c>
      <c r="Y542" s="54">
        <v>0</v>
      </c>
    </row>
    <row r="543" spans="2:25" s="49" customFormat="1" ht="15.75" x14ac:dyDescent="0.25">
      <c r="B543" s="133"/>
      <c r="C543" s="134"/>
      <c r="D543" s="113"/>
      <c r="E543" s="114"/>
      <c r="F543" s="173"/>
      <c r="G543" s="116" t="s">
        <v>244</v>
      </c>
      <c r="H543" s="116" t="s">
        <v>244</v>
      </c>
      <c r="I543" s="113"/>
      <c r="J543" s="117" t="s">
        <v>244</v>
      </c>
      <c r="K543" s="118"/>
      <c r="L543" s="119">
        <v>0</v>
      </c>
      <c r="M543" s="120" t="s">
        <v>244</v>
      </c>
      <c r="N543" s="121" t="s">
        <v>244</v>
      </c>
      <c r="O543" s="122" t="s">
        <v>244</v>
      </c>
      <c r="P543" s="123" t="s">
        <v>244</v>
      </c>
      <c r="Q543" s="124"/>
      <c r="R543" s="135"/>
      <c r="S543" s="136"/>
      <c r="T543" s="137"/>
      <c r="U543" s="138" t="s">
        <v>244</v>
      </c>
      <c r="V543" s="138" t="s">
        <v>244</v>
      </c>
      <c r="W543" s="139" t="s">
        <v>244</v>
      </c>
      <c r="X543" s="139" t="s">
        <v>244</v>
      </c>
      <c r="Y543" s="54">
        <v>0</v>
      </c>
    </row>
    <row r="544" spans="2:25" s="49" customFormat="1" ht="15.75" x14ac:dyDescent="0.25">
      <c r="B544" s="133"/>
      <c r="C544" s="134"/>
      <c r="D544" s="113"/>
      <c r="E544" s="114"/>
      <c r="F544" s="173"/>
      <c r="G544" s="116" t="s">
        <v>244</v>
      </c>
      <c r="H544" s="116" t="s">
        <v>244</v>
      </c>
      <c r="I544" s="113"/>
      <c r="J544" s="117" t="s">
        <v>244</v>
      </c>
      <c r="K544" s="118"/>
      <c r="L544" s="119">
        <v>0</v>
      </c>
      <c r="M544" s="120" t="s">
        <v>244</v>
      </c>
      <c r="N544" s="121" t="s">
        <v>244</v>
      </c>
      <c r="O544" s="122" t="s">
        <v>244</v>
      </c>
      <c r="P544" s="123" t="s">
        <v>244</v>
      </c>
      <c r="Q544" s="124"/>
      <c r="R544" s="135"/>
      <c r="S544" s="136"/>
      <c r="T544" s="137"/>
      <c r="U544" s="138" t="s">
        <v>244</v>
      </c>
      <c r="V544" s="138" t="s">
        <v>244</v>
      </c>
      <c r="W544" s="139" t="s">
        <v>244</v>
      </c>
      <c r="X544" s="139" t="s">
        <v>244</v>
      </c>
      <c r="Y544" s="54">
        <v>0</v>
      </c>
    </row>
    <row r="545" spans="2:25" s="49" customFormat="1" ht="15.75" x14ac:dyDescent="0.25">
      <c r="B545" s="133"/>
      <c r="C545" s="134"/>
      <c r="D545" s="113"/>
      <c r="E545" s="114"/>
      <c r="F545" s="173"/>
      <c r="G545" s="116" t="s">
        <v>244</v>
      </c>
      <c r="H545" s="116" t="s">
        <v>244</v>
      </c>
      <c r="I545" s="113"/>
      <c r="J545" s="117" t="s">
        <v>244</v>
      </c>
      <c r="K545" s="118"/>
      <c r="L545" s="119">
        <v>0</v>
      </c>
      <c r="M545" s="120" t="s">
        <v>244</v>
      </c>
      <c r="N545" s="121" t="s">
        <v>244</v>
      </c>
      <c r="O545" s="122" t="s">
        <v>244</v>
      </c>
      <c r="P545" s="123" t="s">
        <v>244</v>
      </c>
      <c r="Q545" s="124"/>
      <c r="R545" s="135"/>
      <c r="S545" s="136"/>
      <c r="T545" s="137"/>
      <c r="U545" s="138" t="s">
        <v>244</v>
      </c>
      <c r="V545" s="138" t="s">
        <v>244</v>
      </c>
      <c r="W545" s="139" t="s">
        <v>244</v>
      </c>
      <c r="X545" s="139" t="s">
        <v>244</v>
      </c>
      <c r="Y545" s="54">
        <v>0</v>
      </c>
    </row>
    <row r="546" spans="2:25" s="49" customFormat="1" ht="15.75" x14ac:dyDescent="0.25">
      <c r="B546" s="133"/>
      <c r="C546" s="134"/>
      <c r="D546" s="113"/>
      <c r="E546" s="114"/>
      <c r="F546" s="173"/>
      <c r="G546" s="116" t="s">
        <v>244</v>
      </c>
      <c r="H546" s="116" t="s">
        <v>244</v>
      </c>
      <c r="I546" s="113"/>
      <c r="J546" s="117" t="s">
        <v>244</v>
      </c>
      <c r="K546" s="118"/>
      <c r="L546" s="119">
        <v>0</v>
      </c>
      <c r="M546" s="120" t="s">
        <v>244</v>
      </c>
      <c r="N546" s="121" t="s">
        <v>244</v>
      </c>
      <c r="O546" s="122" t="s">
        <v>244</v>
      </c>
      <c r="P546" s="123" t="s">
        <v>244</v>
      </c>
      <c r="Q546" s="124"/>
      <c r="R546" s="135"/>
      <c r="S546" s="136"/>
      <c r="T546" s="137"/>
      <c r="U546" s="138" t="s">
        <v>244</v>
      </c>
      <c r="V546" s="138" t="s">
        <v>244</v>
      </c>
      <c r="W546" s="139" t="s">
        <v>244</v>
      </c>
      <c r="X546" s="139" t="s">
        <v>244</v>
      </c>
      <c r="Y546" s="54">
        <v>0</v>
      </c>
    </row>
    <row r="547" spans="2:25" s="49" customFormat="1" ht="15.75" x14ac:dyDescent="0.25">
      <c r="B547" s="133"/>
      <c r="C547" s="134"/>
      <c r="D547" s="113"/>
      <c r="E547" s="114"/>
      <c r="F547" s="173"/>
      <c r="G547" s="116" t="s">
        <v>244</v>
      </c>
      <c r="H547" s="116" t="s">
        <v>244</v>
      </c>
      <c r="I547" s="113"/>
      <c r="J547" s="117" t="s">
        <v>244</v>
      </c>
      <c r="K547" s="118"/>
      <c r="L547" s="119">
        <v>0</v>
      </c>
      <c r="M547" s="120" t="s">
        <v>244</v>
      </c>
      <c r="N547" s="121" t="s">
        <v>244</v>
      </c>
      <c r="O547" s="122" t="s">
        <v>244</v>
      </c>
      <c r="P547" s="123" t="s">
        <v>244</v>
      </c>
      <c r="Q547" s="124"/>
      <c r="R547" s="135"/>
      <c r="S547" s="136"/>
      <c r="T547" s="137"/>
      <c r="U547" s="138" t="s">
        <v>244</v>
      </c>
      <c r="V547" s="138" t="s">
        <v>244</v>
      </c>
      <c r="W547" s="139" t="s">
        <v>244</v>
      </c>
      <c r="X547" s="139" t="s">
        <v>244</v>
      </c>
      <c r="Y547" s="54">
        <v>0</v>
      </c>
    </row>
    <row r="548" spans="2:25" s="49" customFormat="1" ht="15.75" x14ac:dyDescent="0.25">
      <c r="B548" s="133"/>
      <c r="C548" s="134"/>
      <c r="D548" s="113"/>
      <c r="E548" s="114"/>
      <c r="F548" s="173"/>
      <c r="G548" s="116" t="s">
        <v>244</v>
      </c>
      <c r="H548" s="116" t="s">
        <v>244</v>
      </c>
      <c r="I548" s="113"/>
      <c r="J548" s="117" t="s">
        <v>244</v>
      </c>
      <c r="K548" s="118"/>
      <c r="L548" s="119">
        <v>0</v>
      </c>
      <c r="M548" s="120" t="s">
        <v>244</v>
      </c>
      <c r="N548" s="121" t="s">
        <v>244</v>
      </c>
      <c r="O548" s="122" t="s">
        <v>244</v>
      </c>
      <c r="P548" s="123" t="s">
        <v>244</v>
      </c>
      <c r="Q548" s="124"/>
      <c r="R548" s="135"/>
      <c r="S548" s="136"/>
      <c r="T548" s="137"/>
      <c r="U548" s="138" t="s">
        <v>244</v>
      </c>
      <c r="V548" s="138" t="s">
        <v>244</v>
      </c>
      <c r="W548" s="139" t="s">
        <v>244</v>
      </c>
      <c r="X548" s="139" t="s">
        <v>244</v>
      </c>
      <c r="Y548" s="54">
        <v>0</v>
      </c>
    </row>
    <row r="549" spans="2:25" s="49" customFormat="1" ht="15.75" x14ac:dyDescent="0.25">
      <c r="B549" s="133"/>
      <c r="C549" s="134"/>
      <c r="D549" s="113"/>
      <c r="E549" s="114"/>
      <c r="F549" s="173"/>
      <c r="G549" s="116" t="s">
        <v>244</v>
      </c>
      <c r="H549" s="116" t="s">
        <v>244</v>
      </c>
      <c r="I549" s="113"/>
      <c r="J549" s="117" t="s">
        <v>244</v>
      </c>
      <c r="K549" s="118"/>
      <c r="L549" s="119">
        <v>0</v>
      </c>
      <c r="M549" s="120" t="s">
        <v>244</v>
      </c>
      <c r="N549" s="121" t="s">
        <v>244</v>
      </c>
      <c r="O549" s="122" t="s">
        <v>244</v>
      </c>
      <c r="P549" s="123" t="s">
        <v>244</v>
      </c>
      <c r="Q549" s="124"/>
      <c r="R549" s="135"/>
      <c r="S549" s="136"/>
      <c r="T549" s="137"/>
      <c r="U549" s="138" t="s">
        <v>244</v>
      </c>
      <c r="V549" s="138" t="s">
        <v>244</v>
      </c>
      <c r="W549" s="139" t="s">
        <v>244</v>
      </c>
      <c r="X549" s="139" t="s">
        <v>244</v>
      </c>
      <c r="Y549" s="54">
        <v>0</v>
      </c>
    </row>
    <row r="550" spans="2:25" s="49" customFormat="1" ht="15.75" x14ac:dyDescent="0.25">
      <c r="B550" s="133"/>
      <c r="C550" s="134"/>
      <c r="D550" s="113"/>
      <c r="E550" s="114"/>
      <c r="F550" s="173"/>
      <c r="G550" s="116" t="s">
        <v>244</v>
      </c>
      <c r="H550" s="116" t="s">
        <v>244</v>
      </c>
      <c r="I550" s="113"/>
      <c r="J550" s="117" t="s">
        <v>244</v>
      </c>
      <c r="K550" s="118"/>
      <c r="L550" s="119">
        <v>0</v>
      </c>
      <c r="M550" s="120" t="s">
        <v>244</v>
      </c>
      <c r="N550" s="121" t="s">
        <v>244</v>
      </c>
      <c r="O550" s="122" t="s">
        <v>244</v>
      </c>
      <c r="P550" s="123" t="s">
        <v>244</v>
      </c>
      <c r="Q550" s="124"/>
      <c r="R550" s="135"/>
      <c r="S550" s="136"/>
      <c r="T550" s="137"/>
      <c r="U550" s="138" t="s">
        <v>244</v>
      </c>
      <c r="V550" s="138" t="s">
        <v>244</v>
      </c>
      <c r="W550" s="139" t="s">
        <v>244</v>
      </c>
      <c r="X550" s="139" t="s">
        <v>244</v>
      </c>
      <c r="Y550" s="54">
        <v>0</v>
      </c>
    </row>
    <row r="551" spans="2:25" s="49" customFormat="1" ht="15.75" x14ac:dyDescent="0.25">
      <c r="B551" s="133"/>
      <c r="C551" s="134"/>
      <c r="D551" s="113"/>
      <c r="E551" s="114"/>
      <c r="F551" s="173"/>
      <c r="G551" s="116" t="s">
        <v>244</v>
      </c>
      <c r="H551" s="116" t="s">
        <v>244</v>
      </c>
      <c r="I551" s="113"/>
      <c r="J551" s="117" t="s">
        <v>244</v>
      </c>
      <c r="K551" s="118"/>
      <c r="L551" s="119">
        <v>0</v>
      </c>
      <c r="M551" s="120" t="s">
        <v>244</v>
      </c>
      <c r="N551" s="121" t="s">
        <v>244</v>
      </c>
      <c r="O551" s="122" t="s">
        <v>244</v>
      </c>
      <c r="P551" s="123" t="s">
        <v>244</v>
      </c>
      <c r="Q551" s="124"/>
      <c r="R551" s="135"/>
      <c r="S551" s="136"/>
      <c r="T551" s="137"/>
      <c r="U551" s="138" t="s">
        <v>244</v>
      </c>
      <c r="V551" s="138" t="s">
        <v>244</v>
      </c>
      <c r="W551" s="139" t="s">
        <v>244</v>
      </c>
      <c r="X551" s="139" t="s">
        <v>244</v>
      </c>
      <c r="Y551" s="54">
        <v>0</v>
      </c>
    </row>
    <row r="552" spans="2:25" s="49" customFormat="1" ht="15.75" x14ac:dyDescent="0.25">
      <c r="B552" s="133"/>
      <c r="C552" s="134"/>
      <c r="D552" s="113"/>
      <c r="E552" s="114"/>
      <c r="F552" s="173"/>
      <c r="G552" s="116" t="s">
        <v>244</v>
      </c>
      <c r="H552" s="116" t="s">
        <v>244</v>
      </c>
      <c r="I552" s="113"/>
      <c r="J552" s="117" t="s">
        <v>244</v>
      </c>
      <c r="K552" s="118"/>
      <c r="L552" s="119">
        <v>0</v>
      </c>
      <c r="M552" s="120" t="s">
        <v>244</v>
      </c>
      <c r="N552" s="121" t="s">
        <v>244</v>
      </c>
      <c r="O552" s="122" t="s">
        <v>244</v>
      </c>
      <c r="P552" s="123" t="s">
        <v>244</v>
      </c>
      <c r="Q552" s="124"/>
      <c r="R552" s="135"/>
      <c r="S552" s="136"/>
      <c r="T552" s="137"/>
      <c r="U552" s="138" t="s">
        <v>244</v>
      </c>
      <c r="V552" s="138" t="s">
        <v>244</v>
      </c>
      <c r="W552" s="139" t="s">
        <v>244</v>
      </c>
      <c r="X552" s="139" t="s">
        <v>244</v>
      </c>
      <c r="Y552" s="54">
        <v>0</v>
      </c>
    </row>
    <row r="553" spans="2:25" s="49" customFormat="1" ht="15.75" x14ac:dyDescent="0.25">
      <c r="B553" s="133"/>
      <c r="C553" s="134"/>
      <c r="D553" s="113"/>
      <c r="E553" s="114"/>
      <c r="F553" s="173"/>
      <c r="G553" s="116" t="s">
        <v>244</v>
      </c>
      <c r="H553" s="116" t="s">
        <v>244</v>
      </c>
      <c r="I553" s="113"/>
      <c r="J553" s="117" t="s">
        <v>244</v>
      </c>
      <c r="K553" s="118"/>
      <c r="L553" s="119">
        <v>0</v>
      </c>
      <c r="M553" s="120" t="s">
        <v>244</v>
      </c>
      <c r="N553" s="121" t="s">
        <v>244</v>
      </c>
      <c r="O553" s="122" t="s">
        <v>244</v>
      </c>
      <c r="P553" s="123" t="s">
        <v>244</v>
      </c>
      <c r="Q553" s="124"/>
      <c r="R553" s="135"/>
      <c r="S553" s="136"/>
      <c r="T553" s="137"/>
      <c r="U553" s="138" t="s">
        <v>244</v>
      </c>
      <c r="V553" s="138" t="s">
        <v>244</v>
      </c>
      <c r="W553" s="139" t="s">
        <v>244</v>
      </c>
      <c r="X553" s="139" t="s">
        <v>244</v>
      </c>
      <c r="Y553" s="54">
        <v>0</v>
      </c>
    </row>
    <row r="554" spans="2:25" s="49" customFormat="1" ht="15.75" x14ac:dyDescent="0.25">
      <c r="B554" s="133"/>
      <c r="C554" s="134"/>
      <c r="D554" s="113"/>
      <c r="E554" s="114"/>
      <c r="F554" s="173"/>
      <c r="G554" s="116" t="s">
        <v>244</v>
      </c>
      <c r="H554" s="116" t="s">
        <v>244</v>
      </c>
      <c r="I554" s="113"/>
      <c r="J554" s="117" t="s">
        <v>244</v>
      </c>
      <c r="K554" s="118"/>
      <c r="L554" s="119">
        <v>0</v>
      </c>
      <c r="M554" s="120" t="s">
        <v>244</v>
      </c>
      <c r="N554" s="121" t="s">
        <v>244</v>
      </c>
      <c r="O554" s="122" t="s">
        <v>244</v>
      </c>
      <c r="P554" s="123" t="s">
        <v>244</v>
      </c>
      <c r="Q554" s="124"/>
      <c r="R554" s="135"/>
      <c r="S554" s="136"/>
      <c r="T554" s="137"/>
      <c r="U554" s="138" t="s">
        <v>244</v>
      </c>
      <c r="V554" s="138" t="s">
        <v>244</v>
      </c>
      <c r="W554" s="139" t="s">
        <v>244</v>
      </c>
      <c r="X554" s="139" t="s">
        <v>244</v>
      </c>
      <c r="Y554" s="54">
        <v>0</v>
      </c>
    </row>
    <row r="555" spans="2:25" s="49" customFormat="1" ht="15.75" x14ac:dyDescent="0.25">
      <c r="B555" s="133"/>
      <c r="C555" s="134"/>
      <c r="D555" s="113"/>
      <c r="E555" s="114"/>
      <c r="F555" s="173"/>
      <c r="G555" s="116" t="s">
        <v>244</v>
      </c>
      <c r="H555" s="116" t="s">
        <v>244</v>
      </c>
      <c r="I555" s="113"/>
      <c r="J555" s="117" t="s">
        <v>244</v>
      </c>
      <c r="K555" s="118"/>
      <c r="L555" s="119">
        <v>0</v>
      </c>
      <c r="M555" s="120" t="s">
        <v>244</v>
      </c>
      <c r="N555" s="121" t="s">
        <v>244</v>
      </c>
      <c r="O555" s="122" t="s">
        <v>244</v>
      </c>
      <c r="P555" s="123" t="s">
        <v>244</v>
      </c>
      <c r="Q555" s="124"/>
      <c r="R555" s="135"/>
      <c r="S555" s="136"/>
      <c r="T555" s="137"/>
      <c r="U555" s="138" t="s">
        <v>244</v>
      </c>
      <c r="V555" s="138" t="s">
        <v>244</v>
      </c>
      <c r="W555" s="139" t="s">
        <v>244</v>
      </c>
      <c r="X555" s="139" t="s">
        <v>244</v>
      </c>
      <c r="Y555" s="54">
        <v>0</v>
      </c>
    </row>
    <row r="556" spans="2:25" s="49" customFormat="1" ht="15.75" x14ac:dyDescent="0.25">
      <c r="B556" s="133"/>
      <c r="C556" s="134"/>
      <c r="D556" s="113"/>
      <c r="E556" s="114"/>
      <c r="F556" s="173"/>
      <c r="G556" s="116" t="s">
        <v>244</v>
      </c>
      <c r="H556" s="116" t="s">
        <v>244</v>
      </c>
      <c r="I556" s="113"/>
      <c r="J556" s="117" t="s">
        <v>244</v>
      </c>
      <c r="K556" s="118"/>
      <c r="L556" s="119">
        <v>0</v>
      </c>
      <c r="M556" s="120" t="s">
        <v>244</v>
      </c>
      <c r="N556" s="121" t="s">
        <v>244</v>
      </c>
      <c r="O556" s="122" t="s">
        <v>244</v>
      </c>
      <c r="P556" s="123" t="s">
        <v>244</v>
      </c>
      <c r="Q556" s="124"/>
      <c r="R556" s="135"/>
      <c r="S556" s="136"/>
      <c r="T556" s="137"/>
      <c r="U556" s="138" t="s">
        <v>244</v>
      </c>
      <c r="V556" s="138" t="s">
        <v>244</v>
      </c>
      <c r="W556" s="139" t="s">
        <v>244</v>
      </c>
      <c r="X556" s="139" t="s">
        <v>244</v>
      </c>
      <c r="Y556" s="54">
        <v>0</v>
      </c>
    </row>
    <row r="557" spans="2:25" s="49" customFormat="1" ht="15.75" x14ac:dyDescent="0.25">
      <c r="B557" s="133"/>
      <c r="C557" s="134"/>
      <c r="D557" s="113"/>
      <c r="E557" s="114"/>
      <c r="F557" s="173"/>
      <c r="G557" s="116" t="s">
        <v>244</v>
      </c>
      <c r="H557" s="116" t="s">
        <v>244</v>
      </c>
      <c r="I557" s="113"/>
      <c r="J557" s="117" t="s">
        <v>244</v>
      </c>
      <c r="K557" s="118"/>
      <c r="L557" s="119">
        <v>0</v>
      </c>
      <c r="M557" s="120" t="s">
        <v>244</v>
      </c>
      <c r="N557" s="121" t="s">
        <v>244</v>
      </c>
      <c r="O557" s="122" t="s">
        <v>244</v>
      </c>
      <c r="P557" s="123" t="s">
        <v>244</v>
      </c>
      <c r="Q557" s="124"/>
      <c r="R557" s="135"/>
      <c r="S557" s="136"/>
      <c r="T557" s="137"/>
      <c r="U557" s="138" t="s">
        <v>244</v>
      </c>
      <c r="V557" s="138" t="s">
        <v>244</v>
      </c>
      <c r="W557" s="139" t="s">
        <v>244</v>
      </c>
      <c r="X557" s="139" t="s">
        <v>244</v>
      </c>
      <c r="Y557" s="54">
        <v>0</v>
      </c>
    </row>
    <row r="558" spans="2:25" s="49" customFormat="1" ht="15.75" x14ac:dyDescent="0.25">
      <c r="B558" s="133"/>
      <c r="C558" s="134"/>
      <c r="D558" s="113"/>
      <c r="E558" s="114"/>
      <c r="F558" s="173"/>
      <c r="G558" s="116" t="s">
        <v>244</v>
      </c>
      <c r="H558" s="116" t="s">
        <v>244</v>
      </c>
      <c r="I558" s="113"/>
      <c r="J558" s="117" t="s">
        <v>244</v>
      </c>
      <c r="K558" s="118"/>
      <c r="L558" s="119">
        <v>0</v>
      </c>
      <c r="M558" s="120" t="s">
        <v>244</v>
      </c>
      <c r="N558" s="121" t="s">
        <v>244</v>
      </c>
      <c r="O558" s="122" t="s">
        <v>244</v>
      </c>
      <c r="P558" s="123" t="s">
        <v>244</v>
      </c>
      <c r="Q558" s="124"/>
      <c r="R558" s="135"/>
      <c r="S558" s="136"/>
      <c r="T558" s="137"/>
      <c r="U558" s="138" t="s">
        <v>244</v>
      </c>
      <c r="V558" s="138" t="s">
        <v>244</v>
      </c>
      <c r="W558" s="139" t="s">
        <v>244</v>
      </c>
      <c r="X558" s="139" t="s">
        <v>244</v>
      </c>
      <c r="Y558" s="54">
        <v>0</v>
      </c>
    </row>
    <row r="559" spans="2:25" s="49" customFormat="1" ht="15.75" x14ac:dyDescent="0.25">
      <c r="B559" s="133"/>
      <c r="C559" s="134"/>
      <c r="D559" s="113"/>
      <c r="E559" s="114"/>
      <c r="F559" s="173"/>
      <c r="G559" s="116" t="s">
        <v>244</v>
      </c>
      <c r="H559" s="116" t="s">
        <v>244</v>
      </c>
      <c r="I559" s="113"/>
      <c r="J559" s="117" t="s">
        <v>244</v>
      </c>
      <c r="K559" s="118"/>
      <c r="L559" s="119">
        <v>0</v>
      </c>
      <c r="M559" s="120" t="s">
        <v>244</v>
      </c>
      <c r="N559" s="121" t="s">
        <v>244</v>
      </c>
      <c r="O559" s="122" t="s">
        <v>244</v>
      </c>
      <c r="P559" s="123" t="s">
        <v>244</v>
      </c>
      <c r="Q559" s="124"/>
      <c r="R559" s="135"/>
      <c r="S559" s="136"/>
      <c r="T559" s="137"/>
      <c r="U559" s="138" t="s">
        <v>244</v>
      </c>
      <c r="V559" s="138" t="s">
        <v>244</v>
      </c>
      <c r="W559" s="139" t="s">
        <v>244</v>
      </c>
      <c r="X559" s="139" t="s">
        <v>244</v>
      </c>
      <c r="Y559" s="54">
        <v>0</v>
      </c>
    </row>
    <row r="560" spans="2:25" s="49" customFormat="1" ht="15.75" x14ac:dyDescent="0.25">
      <c r="B560" s="133"/>
      <c r="C560" s="134"/>
      <c r="D560" s="113"/>
      <c r="E560" s="114"/>
      <c r="F560" s="173"/>
      <c r="G560" s="116" t="s">
        <v>244</v>
      </c>
      <c r="H560" s="116" t="s">
        <v>244</v>
      </c>
      <c r="I560" s="113"/>
      <c r="J560" s="117" t="s">
        <v>244</v>
      </c>
      <c r="K560" s="118"/>
      <c r="L560" s="119">
        <v>0</v>
      </c>
      <c r="M560" s="120" t="s">
        <v>244</v>
      </c>
      <c r="N560" s="121" t="s">
        <v>244</v>
      </c>
      <c r="O560" s="122" t="s">
        <v>244</v>
      </c>
      <c r="P560" s="123" t="s">
        <v>244</v>
      </c>
      <c r="Q560" s="124"/>
      <c r="R560" s="135"/>
      <c r="S560" s="136"/>
      <c r="T560" s="137"/>
      <c r="U560" s="138" t="s">
        <v>244</v>
      </c>
      <c r="V560" s="138" t="s">
        <v>244</v>
      </c>
      <c r="W560" s="139" t="s">
        <v>244</v>
      </c>
      <c r="X560" s="139" t="s">
        <v>244</v>
      </c>
      <c r="Y560" s="54">
        <v>0</v>
      </c>
    </row>
    <row r="561" spans="2:25" s="49" customFormat="1" ht="15.75" x14ac:dyDescent="0.25">
      <c r="B561" s="133"/>
      <c r="C561" s="134"/>
      <c r="D561" s="113"/>
      <c r="E561" s="114"/>
      <c r="F561" s="173"/>
      <c r="G561" s="116" t="s">
        <v>244</v>
      </c>
      <c r="H561" s="116" t="s">
        <v>244</v>
      </c>
      <c r="I561" s="113"/>
      <c r="J561" s="117" t="s">
        <v>244</v>
      </c>
      <c r="K561" s="118"/>
      <c r="L561" s="119">
        <v>0</v>
      </c>
      <c r="M561" s="120" t="s">
        <v>244</v>
      </c>
      <c r="N561" s="121" t="s">
        <v>244</v>
      </c>
      <c r="O561" s="122" t="s">
        <v>244</v>
      </c>
      <c r="P561" s="123" t="s">
        <v>244</v>
      </c>
      <c r="Q561" s="124"/>
      <c r="R561" s="135"/>
      <c r="S561" s="136"/>
      <c r="T561" s="137"/>
      <c r="U561" s="138" t="s">
        <v>244</v>
      </c>
      <c r="V561" s="138" t="s">
        <v>244</v>
      </c>
      <c r="W561" s="139" t="s">
        <v>244</v>
      </c>
      <c r="X561" s="139" t="s">
        <v>244</v>
      </c>
      <c r="Y561" s="54">
        <v>0</v>
      </c>
    </row>
    <row r="562" spans="2:25" s="49" customFormat="1" ht="15.75" x14ac:dyDescent="0.25">
      <c r="B562" s="133"/>
      <c r="C562" s="134"/>
      <c r="D562" s="113"/>
      <c r="E562" s="114"/>
      <c r="F562" s="173"/>
      <c r="G562" s="116" t="s">
        <v>244</v>
      </c>
      <c r="H562" s="116" t="s">
        <v>244</v>
      </c>
      <c r="I562" s="113"/>
      <c r="J562" s="117" t="s">
        <v>244</v>
      </c>
      <c r="K562" s="118"/>
      <c r="L562" s="119">
        <v>0</v>
      </c>
      <c r="M562" s="120" t="s">
        <v>244</v>
      </c>
      <c r="N562" s="121" t="s">
        <v>244</v>
      </c>
      <c r="O562" s="122" t="s">
        <v>244</v>
      </c>
      <c r="P562" s="123" t="s">
        <v>244</v>
      </c>
      <c r="Q562" s="124"/>
      <c r="R562" s="135"/>
      <c r="S562" s="136"/>
      <c r="T562" s="137"/>
      <c r="U562" s="138" t="s">
        <v>244</v>
      </c>
      <c r="V562" s="138" t="s">
        <v>244</v>
      </c>
      <c r="W562" s="139" t="s">
        <v>244</v>
      </c>
      <c r="X562" s="139" t="s">
        <v>244</v>
      </c>
      <c r="Y562" s="54">
        <v>0</v>
      </c>
    </row>
    <row r="563" spans="2:25" s="49" customFormat="1" ht="15.75" x14ac:dyDescent="0.25">
      <c r="B563" s="133"/>
      <c r="C563" s="134"/>
      <c r="D563" s="113"/>
      <c r="E563" s="114"/>
      <c r="F563" s="173"/>
      <c r="G563" s="116" t="s">
        <v>244</v>
      </c>
      <c r="H563" s="116" t="s">
        <v>244</v>
      </c>
      <c r="I563" s="113"/>
      <c r="J563" s="117" t="s">
        <v>244</v>
      </c>
      <c r="K563" s="118"/>
      <c r="L563" s="119">
        <v>0</v>
      </c>
      <c r="M563" s="120" t="s">
        <v>244</v>
      </c>
      <c r="N563" s="121" t="s">
        <v>244</v>
      </c>
      <c r="O563" s="122" t="s">
        <v>244</v>
      </c>
      <c r="P563" s="123" t="s">
        <v>244</v>
      </c>
      <c r="Q563" s="124"/>
      <c r="R563" s="135"/>
      <c r="S563" s="136"/>
      <c r="T563" s="137"/>
      <c r="U563" s="138" t="s">
        <v>244</v>
      </c>
      <c r="V563" s="138" t="s">
        <v>244</v>
      </c>
      <c r="W563" s="139" t="s">
        <v>244</v>
      </c>
      <c r="X563" s="139" t="s">
        <v>244</v>
      </c>
      <c r="Y563" s="54">
        <v>0</v>
      </c>
    </row>
    <row r="564" spans="2:25" s="49" customFormat="1" ht="15.75" x14ac:dyDescent="0.25">
      <c r="B564" s="133"/>
      <c r="C564" s="134"/>
      <c r="D564" s="113"/>
      <c r="E564" s="114"/>
      <c r="F564" s="173"/>
      <c r="G564" s="116" t="s">
        <v>244</v>
      </c>
      <c r="H564" s="116" t="s">
        <v>244</v>
      </c>
      <c r="I564" s="113"/>
      <c r="J564" s="117" t="s">
        <v>244</v>
      </c>
      <c r="K564" s="118"/>
      <c r="L564" s="119">
        <v>0</v>
      </c>
      <c r="M564" s="120" t="s">
        <v>244</v>
      </c>
      <c r="N564" s="121" t="s">
        <v>244</v>
      </c>
      <c r="O564" s="122" t="s">
        <v>244</v>
      </c>
      <c r="P564" s="123" t="s">
        <v>244</v>
      </c>
      <c r="Q564" s="124"/>
      <c r="R564" s="135"/>
      <c r="S564" s="136"/>
      <c r="T564" s="137"/>
      <c r="U564" s="138" t="s">
        <v>244</v>
      </c>
      <c r="V564" s="138" t="s">
        <v>244</v>
      </c>
      <c r="W564" s="139" t="s">
        <v>244</v>
      </c>
      <c r="X564" s="139" t="s">
        <v>244</v>
      </c>
      <c r="Y564" s="54">
        <v>0</v>
      </c>
    </row>
    <row r="565" spans="2:25" s="49" customFormat="1" ht="15.75" x14ac:dyDescent="0.25">
      <c r="B565" s="133"/>
      <c r="C565" s="134"/>
      <c r="D565" s="113"/>
      <c r="E565" s="114"/>
      <c r="F565" s="173"/>
      <c r="G565" s="116" t="s">
        <v>244</v>
      </c>
      <c r="H565" s="116" t="s">
        <v>244</v>
      </c>
      <c r="I565" s="113"/>
      <c r="J565" s="117" t="s">
        <v>244</v>
      </c>
      <c r="K565" s="118"/>
      <c r="L565" s="119">
        <v>0</v>
      </c>
      <c r="M565" s="120" t="s">
        <v>244</v>
      </c>
      <c r="N565" s="121" t="s">
        <v>244</v>
      </c>
      <c r="O565" s="122" t="s">
        <v>244</v>
      </c>
      <c r="P565" s="123" t="s">
        <v>244</v>
      </c>
      <c r="Q565" s="124"/>
      <c r="R565" s="135"/>
      <c r="S565" s="136"/>
      <c r="T565" s="137"/>
      <c r="U565" s="138" t="s">
        <v>244</v>
      </c>
      <c r="V565" s="138" t="s">
        <v>244</v>
      </c>
      <c r="W565" s="139" t="s">
        <v>244</v>
      </c>
      <c r="X565" s="139" t="s">
        <v>244</v>
      </c>
      <c r="Y565" s="54">
        <v>0</v>
      </c>
    </row>
    <row r="566" spans="2:25" s="49" customFormat="1" ht="15.75" x14ac:dyDescent="0.25">
      <c r="B566" s="133"/>
      <c r="C566" s="134"/>
      <c r="D566" s="113"/>
      <c r="E566" s="114"/>
      <c r="F566" s="173"/>
      <c r="G566" s="116" t="s">
        <v>244</v>
      </c>
      <c r="H566" s="116" t="s">
        <v>244</v>
      </c>
      <c r="I566" s="113"/>
      <c r="J566" s="117" t="s">
        <v>244</v>
      </c>
      <c r="K566" s="118"/>
      <c r="L566" s="119">
        <v>0</v>
      </c>
      <c r="M566" s="120" t="s">
        <v>244</v>
      </c>
      <c r="N566" s="121" t="s">
        <v>244</v>
      </c>
      <c r="O566" s="122" t="s">
        <v>244</v>
      </c>
      <c r="P566" s="123" t="s">
        <v>244</v>
      </c>
      <c r="Q566" s="124"/>
      <c r="R566" s="135"/>
      <c r="S566" s="136"/>
      <c r="T566" s="137"/>
      <c r="U566" s="138" t="s">
        <v>244</v>
      </c>
      <c r="V566" s="138" t="s">
        <v>244</v>
      </c>
      <c r="W566" s="139" t="s">
        <v>244</v>
      </c>
      <c r="X566" s="139" t="s">
        <v>244</v>
      </c>
      <c r="Y566" s="54">
        <v>0</v>
      </c>
    </row>
    <row r="567" spans="2:25" s="49" customFormat="1" ht="15.75" x14ac:dyDescent="0.25">
      <c r="B567" s="133"/>
      <c r="C567" s="134"/>
      <c r="D567" s="113"/>
      <c r="E567" s="114"/>
      <c r="F567" s="173"/>
      <c r="G567" s="116" t="s">
        <v>244</v>
      </c>
      <c r="H567" s="116" t="s">
        <v>244</v>
      </c>
      <c r="I567" s="113"/>
      <c r="J567" s="117" t="s">
        <v>244</v>
      </c>
      <c r="K567" s="118"/>
      <c r="L567" s="119">
        <v>0</v>
      </c>
      <c r="M567" s="120" t="s">
        <v>244</v>
      </c>
      <c r="N567" s="121" t="s">
        <v>244</v>
      </c>
      <c r="O567" s="122" t="s">
        <v>244</v>
      </c>
      <c r="P567" s="123" t="s">
        <v>244</v>
      </c>
      <c r="Q567" s="124"/>
      <c r="R567" s="135"/>
      <c r="S567" s="136"/>
      <c r="T567" s="137"/>
      <c r="U567" s="138" t="s">
        <v>244</v>
      </c>
      <c r="V567" s="138" t="s">
        <v>244</v>
      </c>
      <c r="W567" s="139" t="s">
        <v>244</v>
      </c>
      <c r="X567" s="139" t="s">
        <v>244</v>
      </c>
      <c r="Y567" s="54">
        <v>0</v>
      </c>
    </row>
    <row r="568" spans="2:25" s="49" customFormat="1" ht="15.75" x14ac:dyDescent="0.25">
      <c r="B568" s="133"/>
      <c r="C568" s="134"/>
      <c r="D568" s="113"/>
      <c r="E568" s="114"/>
      <c r="F568" s="173"/>
      <c r="G568" s="116" t="s">
        <v>244</v>
      </c>
      <c r="H568" s="116" t="s">
        <v>244</v>
      </c>
      <c r="I568" s="113"/>
      <c r="J568" s="117" t="s">
        <v>244</v>
      </c>
      <c r="K568" s="118"/>
      <c r="L568" s="119">
        <v>0</v>
      </c>
      <c r="M568" s="120" t="s">
        <v>244</v>
      </c>
      <c r="N568" s="121" t="s">
        <v>244</v>
      </c>
      <c r="O568" s="122" t="s">
        <v>244</v>
      </c>
      <c r="P568" s="123" t="s">
        <v>244</v>
      </c>
      <c r="Q568" s="124"/>
      <c r="R568" s="135"/>
      <c r="S568" s="136"/>
      <c r="T568" s="137"/>
      <c r="U568" s="138" t="s">
        <v>244</v>
      </c>
      <c r="V568" s="138" t="s">
        <v>244</v>
      </c>
      <c r="W568" s="139" t="s">
        <v>244</v>
      </c>
      <c r="X568" s="139" t="s">
        <v>244</v>
      </c>
      <c r="Y568" s="54">
        <v>0</v>
      </c>
    </row>
    <row r="569" spans="2:25" s="49" customFormat="1" ht="15.75" x14ac:dyDescent="0.25">
      <c r="B569" s="133"/>
      <c r="C569" s="134"/>
      <c r="D569" s="113"/>
      <c r="E569" s="114"/>
      <c r="F569" s="173"/>
      <c r="G569" s="116" t="s">
        <v>244</v>
      </c>
      <c r="H569" s="116" t="s">
        <v>244</v>
      </c>
      <c r="I569" s="113"/>
      <c r="J569" s="117" t="s">
        <v>244</v>
      </c>
      <c r="K569" s="118"/>
      <c r="L569" s="119">
        <v>0</v>
      </c>
      <c r="M569" s="120" t="s">
        <v>244</v>
      </c>
      <c r="N569" s="121" t="s">
        <v>244</v>
      </c>
      <c r="O569" s="122" t="s">
        <v>244</v>
      </c>
      <c r="P569" s="123" t="s">
        <v>244</v>
      </c>
      <c r="Q569" s="124"/>
      <c r="R569" s="135"/>
      <c r="S569" s="136"/>
      <c r="T569" s="137"/>
      <c r="U569" s="138" t="s">
        <v>244</v>
      </c>
      <c r="V569" s="138" t="s">
        <v>244</v>
      </c>
      <c r="W569" s="139" t="s">
        <v>244</v>
      </c>
      <c r="X569" s="139" t="s">
        <v>244</v>
      </c>
      <c r="Y569" s="54">
        <v>0</v>
      </c>
    </row>
    <row r="570" spans="2:25" s="49" customFormat="1" ht="15.75" x14ac:dyDescent="0.25">
      <c r="B570" s="133"/>
      <c r="C570" s="134"/>
      <c r="D570" s="113"/>
      <c r="E570" s="114"/>
      <c r="F570" s="173"/>
      <c r="G570" s="116" t="s">
        <v>244</v>
      </c>
      <c r="H570" s="116" t="s">
        <v>244</v>
      </c>
      <c r="I570" s="113"/>
      <c r="J570" s="117" t="s">
        <v>244</v>
      </c>
      <c r="K570" s="118"/>
      <c r="L570" s="119">
        <v>0</v>
      </c>
      <c r="M570" s="120" t="s">
        <v>244</v>
      </c>
      <c r="N570" s="121" t="s">
        <v>244</v>
      </c>
      <c r="O570" s="122" t="s">
        <v>244</v>
      </c>
      <c r="P570" s="123" t="s">
        <v>244</v>
      </c>
      <c r="Q570" s="124"/>
      <c r="R570" s="135"/>
      <c r="S570" s="136"/>
      <c r="T570" s="137"/>
      <c r="U570" s="138" t="s">
        <v>244</v>
      </c>
      <c r="V570" s="138" t="s">
        <v>244</v>
      </c>
      <c r="W570" s="139" t="s">
        <v>244</v>
      </c>
      <c r="X570" s="139" t="s">
        <v>244</v>
      </c>
      <c r="Y570" s="54">
        <v>0</v>
      </c>
    </row>
    <row r="571" spans="2:25" s="49" customFormat="1" ht="15.75" x14ac:dyDescent="0.25">
      <c r="B571" s="133"/>
      <c r="C571" s="134"/>
      <c r="D571" s="113"/>
      <c r="E571" s="114"/>
      <c r="F571" s="173"/>
      <c r="G571" s="116" t="s">
        <v>244</v>
      </c>
      <c r="H571" s="116" t="s">
        <v>244</v>
      </c>
      <c r="I571" s="113"/>
      <c r="J571" s="117" t="s">
        <v>244</v>
      </c>
      <c r="K571" s="118"/>
      <c r="L571" s="119">
        <v>0</v>
      </c>
      <c r="M571" s="120" t="s">
        <v>244</v>
      </c>
      <c r="N571" s="121" t="s">
        <v>244</v>
      </c>
      <c r="O571" s="122" t="s">
        <v>244</v>
      </c>
      <c r="P571" s="123" t="s">
        <v>244</v>
      </c>
      <c r="Q571" s="124"/>
      <c r="R571" s="135"/>
      <c r="S571" s="136"/>
      <c r="T571" s="137"/>
      <c r="U571" s="138" t="s">
        <v>244</v>
      </c>
      <c r="V571" s="138" t="s">
        <v>244</v>
      </c>
      <c r="W571" s="139" t="s">
        <v>244</v>
      </c>
      <c r="X571" s="139" t="s">
        <v>244</v>
      </c>
      <c r="Y571" s="54">
        <v>0</v>
      </c>
    </row>
    <row r="572" spans="2:25" s="49" customFormat="1" ht="15.75" x14ac:dyDescent="0.25">
      <c r="B572" s="133"/>
      <c r="C572" s="134"/>
      <c r="D572" s="113"/>
      <c r="E572" s="114"/>
      <c r="F572" s="173"/>
      <c r="G572" s="116" t="s">
        <v>244</v>
      </c>
      <c r="H572" s="116" t="s">
        <v>244</v>
      </c>
      <c r="I572" s="113"/>
      <c r="J572" s="117" t="s">
        <v>244</v>
      </c>
      <c r="K572" s="118"/>
      <c r="L572" s="119">
        <v>0</v>
      </c>
      <c r="M572" s="120" t="s">
        <v>244</v>
      </c>
      <c r="N572" s="121" t="s">
        <v>244</v>
      </c>
      <c r="O572" s="122" t="s">
        <v>244</v>
      </c>
      <c r="P572" s="123" t="s">
        <v>244</v>
      </c>
      <c r="Q572" s="124"/>
      <c r="R572" s="135"/>
      <c r="S572" s="136"/>
      <c r="T572" s="137"/>
      <c r="U572" s="138" t="s">
        <v>244</v>
      </c>
      <c r="V572" s="138" t="s">
        <v>244</v>
      </c>
      <c r="W572" s="139" t="s">
        <v>244</v>
      </c>
      <c r="X572" s="139" t="s">
        <v>244</v>
      </c>
      <c r="Y572" s="54">
        <v>0</v>
      </c>
    </row>
    <row r="573" spans="2:25" s="49" customFormat="1" ht="15.75" x14ac:dyDescent="0.25">
      <c r="B573" s="133"/>
      <c r="C573" s="134"/>
      <c r="D573" s="113"/>
      <c r="E573" s="114"/>
      <c r="F573" s="173"/>
      <c r="G573" s="116" t="s">
        <v>244</v>
      </c>
      <c r="H573" s="116" t="s">
        <v>244</v>
      </c>
      <c r="I573" s="113"/>
      <c r="J573" s="117" t="s">
        <v>244</v>
      </c>
      <c r="K573" s="118"/>
      <c r="L573" s="119">
        <v>0</v>
      </c>
      <c r="M573" s="120" t="s">
        <v>244</v>
      </c>
      <c r="N573" s="121" t="s">
        <v>244</v>
      </c>
      <c r="O573" s="122" t="s">
        <v>244</v>
      </c>
      <c r="P573" s="123" t="s">
        <v>244</v>
      </c>
      <c r="Q573" s="124"/>
      <c r="R573" s="135"/>
      <c r="S573" s="136"/>
      <c r="T573" s="137"/>
      <c r="U573" s="138" t="s">
        <v>244</v>
      </c>
      <c r="V573" s="138" t="s">
        <v>244</v>
      </c>
      <c r="W573" s="139" t="s">
        <v>244</v>
      </c>
      <c r="X573" s="139" t="s">
        <v>244</v>
      </c>
      <c r="Y573" s="54">
        <v>0</v>
      </c>
    </row>
    <row r="574" spans="2:25" s="49" customFormat="1" ht="15.75" x14ac:dyDescent="0.25">
      <c r="B574" s="133"/>
      <c r="C574" s="134"/>
      <c r="D574" s="113"/>
      <c r="E574" s="114"/>
      <c r="F574" s="173"/>
      <c r="G574" s="116" t="s">
        <v>244</v>
      </c>
      <c r="H574" s="116" t="s">
        <v>244</v>
      </c>
      <c r="I574" s="113"/>
      <c r="J574" s="117" t="s">
        <v>244</v>
      </c>
      <c r="K574" s="118"/>
      <c r="L574" s="119">
        <v>0</v>
      </c>
      <c r="M574" s="120" t="s">
        <v>244</v>
      </c>
      <c r="N574" s="121" t="s">
        <v>244</v>
      </c>
      <c r="O574" s="122" t="s">
        <v>244</v>
      </c>
      <c r="P574" s="123" t="s">
        <v>244</v>
      </c>
      <c r="Q574" s="124"/>
      <c r="R574" s="135"/>
      <c r="S574" s="136"/>
      <c r="T574" s="137"/>
      <c r="U574" s="138" t="s">
        <v>244</v>
      </c>
      <c r="V574" s="138" t="s">
        <v>244</v>
      </c>
      <c r="W574" s="139" t="s">
        <v>244</v>
      </c>
      <c r="X574" s="139" t="s">
        <v>244</v>
      </c>
      <c r="Y574" s="54">
        <v>0</v>
      </c>
    </row>
    <row r="575" spans="2:25" s="49" customFormat="1" ht="15.75" x14ac:dyDescent="0.25">
      <c r="B575" s="133"/>
      <c r="C575" s="134"/>
      <c r="D575" s="113"/>
      <c r="E575" s="114"/>
      <c r="F575" s="173"/>
      <c r="G575" s="116" t="s">
        <v>244</v>
      </c>
      <c r="H575" s="116" t="s">
        <v>244</v>
      </c>
      <c r="I575" s="113"/>
      <c r="J575" s="117" t="s">
        <v>244</v>
      </c>
      <c r="K575" s="118"/>
      <c r="L575" s="119">
        <v>0</v>
      </c>
      <c r="M575" s="120" t="s">
        <v>244</v>
      </c>
      <c r="N575" s="121" t="s">
        <v>244</v>
      </c>
      <c r="O575" s="122" t="s">
        <v>244</v>
      </c>
      <c r="P575" s="123" t="s">
        <v>244</v>
      </c>
      <c r="Q575" s="124"/>
      <c r="R575" s="135"/>
      <c r="S575" s="136"/>
      <c r="T575" s="137"/>
      <c r="U575" s="138" t="s">
        <v>244</v>
      </c>
      <c r="V575" s="138" t="s">
        <v>244</v>
      </c>
      <c r="W575" s="139" t="s">
        <v>244</v>
      </c>
      <c r="X575" s="139" t="s">
        <v>244</v>
      </c>
      <c r="Y575" s="54">
        <v>0</v>
      </c>
    </row>
    <row r="576" spans="2:25" s="49" customFormat="1" ht="15.75" x14ac:dyDescent="0.25">
      <c r="B576" s="133"/>
      <c r="C576" s="134"/>
      <c r="D576" s="113"/>
      <c r="E576" s="114"/>
      <c r="F576" s="173"/>
      <c r="G576" s="116" t="s">
        <v>244</v>
      </c>
      <c r="H576" s="116" t="s">
        <v>244</v>
      </c>
      <c r="I576" s="113"/>
      <c r="J576" s="117" t="s">
        <v>244</v>
      </c>
      <c r="K576" s="118"/>
      <c r="L576" s="119">
        <v>0</v>
      </c>
      <c r="M576" s="120" t="s">
        <v>244</v>
      </c>
      <c r="N576" s="121" t="s">
        <v>244</v>
      </c>
      <c r="O576" s="122" t="s">
        <v>244</v>
      </c>
      <c r="P576" s="123" t="s">
        <v>244</v>
      </c>
      <c r="Q576" s="124"/>
      <c r="R576" s="135"/>
      <c r="S576" s="136"/>
      <c r="T576" s="137"/>
      <c r="U576" s="138" t="s">
        <v>244</v>
      </c>
      <c r="V576" s="138" t="s">
        <v>244</v>
      </c>
      <c r="W576" s="139" t="s">
        <v>244</v>
      </c>
      <c r="X576" s="139" t="s">
        <v>244</v>
      </c>
      <c r="Y576" s="54">
        <v>0</v>
      </c>
    </row>
    <row r="577" spans="2:25" s="49" customFormat="1" ht="15.75" x14ac:dyDescent="0.25">
      <c r="B577" s="133"/>
      <c r="C577" s="134"/>
      <c r="D577" s="113"/>
      <c r="E577" s="114"/>
      <c r="F577" s="173"/>
      <c r="G577" s="116" t="s">
        <v>244</v>
      </c>
      <c r="H577" s="116" t="s">
        <v>244</v>
      </c>
      <c r="I577" s="113"/>
      <c r="J577" s="117" t="s">
        <v>244</v>
      </c>
      <c r="K577" s="118"/>
      <c r="L577" s="119">
        <v>0</v>
      </c>
      <c r="M577" s="120" t="s">
        <v>244</v>
      </c>
      <c r="N577" s="121" t="s">
        <v>244</v>
      </c>
      <c r="O577" s="122" t="s">
        <v>244</v>
      </c>
      <c r="P577" s="123" t="s">
        <v>244</v>
      </c>
      <c r="Q577" s="124"/>
      <c r="R577" s="135"/>
      <c r="S577" s="136"/>
      <c r="T577" s="137"/>
      <c r="U577" s="138" t="s">
        <v>244</v>
      </c>
      <c r="V577" s="138" t="s">
        <v>244</v>
      </c>
      <c r="W577" s="139" t="s">
        <v>244</v>
      </c>
      <c r="X577" s="139" t="s">
        <v>244</v>
      </c>
      <c r="Y577" s="54">
        <v>0</v>
      </c>
    </row>
    <row r="578" spans="2:25" s="49" customFormat="1" ht="15.75" x14ac:dyDescent="0.25">
      <c r="B578" s="133"/>
      <c r="C578" s="134"/>
      <c r="D578" s="113"/>
      <c r="E578" s="114"/>
      <c r="F578" s="173"/>
      <c r="G578" s="116" t="s">
        <v>244</v>
      </c>
      <c r="H578" s="116" t="s">
        <v>244</v>
      </c>
      <c r="I578" s="113"/>
      <c r="J578" s="117" t="s">
        <v>244</v>
      </c>
      <c r="K578" s="118"/>
      <c r="L578" s="119">
        <v>0</v>
      </c>
      <c r="M578" s="120" t="s">
        <v>244</v>
      </c>
      <c r="N578" s="121" t="s">
        <v>244</v>
      </c>
      <c r="O578" s="122" t="s">
        <v>244</v>
      </c>
      <c r="P578" s="123" t="s">
        <v>244</v>
      </c>
      <c r="Q578" s="124"/>
      <c r="R578" s="135"/>
      <c r="S578" s="136"/>
      <c r="T578" s="137"/>
      <c r="U578" s="138" t="s">
        <v>244</v>
      </c>
      <c r="V578" s="138" t="s">
        <v>244</v>
      </c>
      <c r="W578" s="139" t="s">
        <v>244</v>
      </c>
      <c r="X578" s="139" t="s">
        <v>244</v>
      </c>
      <c r="Y578" s="54">
        <v>0</v>
      </c>
    </row>
    <row r="579" spans="2:25" s="49" customFormat="1" ht="15.75" x14ac:dyDescent="0.25">
      <c r="B579" s="133"/>
      <c r="C579" s="134"/>
      <c r="D579" s="113"/>
      <c r="E579" s="114"/>
      <c r="F579" s="173"/>
      <c r="G579" s="116" t="s">
        <v>244</v>
      </c>
      <c r="H579" s="116" t="s">
        <v>244</v>
      </c>
      <c r="I579" s="113"/>
      <c r="J579" s="117" t="s">
        <v>244</v>
      </c>
      <c r="K579" s="118"/>
      <c r="L579" s="119">
        <v>0</v>
      </c>
      <c r="M579" s="120" t="s">
        <v>244</v>
      </c>
      <c r="N579" s="121" t="s">
        <v>244</v>
      </c>
      <c r="O579" s="122" t="s">
        <v>244</v>
      </c>
      <c r="P579" s="123" t="s">
        <v>244</v>
      </c>
      <c r="Q579" s="124"/>
      <c r="R579" s="135"/>
      <c r="S579" s="136"/>
      <c r="T579" s="137"/>
      <c r="U579" s="138" t="s">
        <v>244</v>
      </c>
      <c r="V579" s="138" t="s">
        <v>244</v>
      </c>
      <c r="W579" s="139" t="s">
        <v>244</v>
      </c>
      <c r="X579" s="139" t="s">
        <v>244</v>
      </c>
      <c r="Y579" s="54">
        <v>0</v>
      </c>
    </row>
    <row r="580" spans="2:25" s="49" customFormat="1" ht="15.75" x14ac:dyDescent="0.25">
      <c r="B580" s="133"/>
      <c r="C580" s="134"/>
      <c r="D580" s="113"/>
      <c r="E580" s="114"/>
      <c r="F580" s="173"/>
      <c r="G580" s="116" t="s">
        <v>244</v>
      </c>
      <c r="H580" s="116" t="s">
        <v>244</v>
      </c>
      <c r="I580" s="113"/>
      <c r="J580" s="117" t="s">
        <v>244</v>
      </c>
      <c r="K580" s="118"/>
      <c r="L580" s="119">
        <v>0</v>
      </c>
      <c r="M580" s="120" t="s">
        <v>244</v>
      </c>
      <c r="N580" s="121" t="s">
        <v>244</v>
      </c>
      <c r="O580" s="122" t="s">
        <v>244</v>
      </c>
      <c r="P580" s="123" t="s">
        <v>244</v>
      </c>
      <c r="Q580" s="124"/>
      <c r="R580" s="135"/>
      <c r="S580" s="136"/>
      <c r="T580" s="137"/>
      <c r="U580" s="138" t="s">
        <v>244</v>
      </c>
      <c r="V580" s="138" t="s">
        <v>244</v>
      </c>
      <c r="W580" s="139" t="s">
        <v>244</v>
      </c>
      <c r="X580" s="139" t="s">
        <v>244</v>
      </c>
      <c r="Y580" s="54">
        <v>0</v>
      </c>
    </row>
    <row r="581" spans="2:25" s="49" customFormat="1" ht="15.75" x14ac:dyDescent="0.25">
      <c r="B581" s="133"/>
      <c r="C581" s="134"/>
      <c r="D581" s="113"/>
      <c r="E581" s="114"/>
      <c r="F581" s="173"/>
      <c r="G581" s="116" t="s">
        <v>244</v>
      </c>
      <c r="H581" s="116" t="s">
        <v>244</v>
      </c>
      <c r="I581" s="113"/>
      <c r="J581" s="117" t="s">
        <v>244</v>
      </c>
      <c r="K581" s="118"/>
      <c r="L581" s="119">
        <v>0</v>
      </c>
      <c r="M581" s="120" t="s">
        <v>244</v>
      </c>
      <c r="N581" s="121" t="s">
        <v>244</v>
      </c>
      <c r="O581" s="122" t="s">
        <v>244</v>
      </c>
      <c r="P581" s="123" t="s">
        <v>244</v>
      </c>
      <c r="Q581" s="124"/>
      <c r="R581" s="135"/>
      <c r="S581" s="136"/>
      <c r="T581" s="137"/>
      <c r="U581" s="138" t="s">
        <v>244</v>
      </c>
      <c r="V581" s="138" t="s">
        <v>244</v>
      </c>
      <c r="W581" s="139" t="s">
        <v>244</v>
      </c>
      <c r="X581" s="139" t="s">
        <v>244</v>
      </c>
      <c r="Y581" s="54">
        <v>0</v>
      </c>
    </row>
    <row r="582" spans="2:25" s="49" customFormat="1" ht="15.75" x14ac:dyDescent="0.25">
      <c r="B582" s="133"/>
      <c r="C582" s="134"/>
      <c r="D582" s="113"/>
      <c r="E582" s="114"/>
      <c r="F582" s="173"/>
      <c r="G582" s="116" t="s">
        <v>244</v>
      </c>
      <c r="H582" s="116" t="s">
        <v>244</v>
      </c>
      <c r="I582" s="113"/>
      <c r="J582" s="117" t="s">
        <v>244</v>
      </c>
      <c r="K582" s="118"/>
      <c r="L582" s="119">
        <v>0</v>
      </c>
      <c r="M582" s="120" t="s">
        <v>244</v>
      </c>
      <c r="N582" s="121" t="s">
        <v>244</v>
      </c>
      <c r="O582" s="122" t="s">
        <v>244</v>
      </c>
      <c r="P582" s="123" t="s">
        <v>244</v>
      </c>
      <c r="Q582" s="124"/>
      <c r="R582" s="135"/>
      <c r="S582" s="136"/>
      <c r="T582" s="137"/>
      <c r="U582" s="138" t="s">
        <v>244</v>
      </c>
      <c r="V582" s="138" t="s">
        <v>244</v>
      </c>
      <c r="W582" s="139" t="s">
        <v>244</v>
      </c>
      <c r="X582" s="139" t="s">
        <v>244</v>
      </c>
      <c r="Y582" s="54">
        <v>0</v>
      </c>
    </row>
    <row r="583" spans="2:25" s="49" customFormat="1" ht="15.75" x14ac:dyDescent="0.25">
      <c r="B583" s="133"/>
      <c r="C583" s="134"/>
      <c r="D583" s="113"/>
      <c r="E583" s="114"/>
      <c r="F583" s="173"/>
      <c r="G583" s="116" t="s">
        <v>244</v>
      </c>
      <c r="H583" s="116" t="s">
        <v>244</v>
      </c>
      <c r="I583" s="113"/>
      <c r="J583" s="117" t="s">
        <v>244</v>
      </c>
      <c r="K583" s="118"/>
      <c r="L583" s="119">
        <v>0</v>
      </c>
      <c r="M583" s="120" t="s">
        <v>244</v>
      </c>
      <c r="N583" s="121" t="s">
        <v>244</v>
      </c>
      <c r="O583" s="122" t="s">
        <v>244</v>
      </c>
      <c r="P583" s="123" t="s">
        <v>244</v>
      </c>
      <c r="Q583" s="124"/>
      <c r="R583" s="135"/>
      <c r="S583" s="136"/>
      <c r="T583" s="137"/>
      <c r="U583" s="138" t="s">
        <v>244</v>
      </c>
      <c r="V583" s="138" t="s">
        <v>244</v>
      </c>
      <c r="W583" s="139" t="s">
        <v>244</v>
      </c>
      <c r="X583" s="139" t="s">
        <v>244</v>
      </c>
      <c r="Y583" s="54">
        <v>0</v>
      </c>
    </row>
    <row r="584" spans="2:25" s="49" customFormat="1" ht="15.75" x14ac:dyDescent="0.25">
      <c r="B584" s="133"/>
      <c r="C584" s="134"/>
      <c r="D584" s="113"/>
      <c r="E584" s="114"/>
      <c r="F584" s="173"/>
      <c r="G584" s="116" t="s">
        <v>244</v>
      </c>
      <c r="H584" s="116" t="s">
        <v>244</v>
      </c>
      <c r="I584" s="113"/>
      <c r="J584" s="117" t="s">
        <v>244</v>
      </c>
      <c r="K584" s="118"/>
      <c r="L584" s="119">
        <v>0</v>
      </c>
      <c r="M584" s="120" t="s">
        <v>244</v>
      </c>
      <c r="N584" s="121" t="s">
        <v>244</v>
      </c>
      <c r="O584" s="122" t="s">
        <v>244</v>
      </c>
      <c r="P584" s="123" t="s">
        <v>244</v>
      </c>
      <c r="Q584" s="124"/>
      <c r="R584" s="135"/>
      <c r="S584" s="136"/>
      <c r="T584" s="137"/>
      <c r="U584" s="138" t="s">
        <v>244</v>
      </c>
      <c r="V584" s="138" t="s">
        <v>244</v>
      </c>
      <c r="W584" s="139" t="s">
        <v>244</v>
      </c>
      <c r="X584" s="139" t="s">
        <v>244</v>
      </c>
      <c r="Y584" s="54">
        <v>0</v>
      </c>
    </row>
    <row r="585" spans="2:25" s="49" customFormat="1" ht="15.75" x14ac:dyDescent="0.25">
      <c r="B585" s="133"/>
      <c r="C585" s="134"/>
      <c r="D585" s="113"/>
      <c r="E585" s="114"/>
      <c r="F585" s="173"/>
      <c r="G585" s="116" t="s">
        <v>244</v>
      </c>
      <c r="H585" s="116" t="s">
        <v>244</v>
      </c>
      <c r="I585" s="113"/>
      <c r="J585" s="117" t="s">
        <v>244</v>
      </c>
      <c r="K585" s="118"/>
      <c r="L585" s="119">
        <v>0</v>
      </c>
      <c r="M585" s="120" t="s">
        <v>244</v>
      </c>
      <c r="N585" s="121" t="s">
        <v>244</v>
      </c>
      <c r="O585" s="122" t="s">
        <v>244</v>
      </c>
      <c r="P585" s="123" t="s">
        <v>244</v>
      </c>
      <c r="Q585" s="124"/>
      <c r="R585" s="135"/>
      <c r="S585" s="136"/>
      <c r="T585" s="137"/>
      <c r="U585" s="138" t="s">
        <v>244</v>
      </c>
      <c r="V585" s="138" t="s">
        <v>244</v>
      </c>
      <c r="W585" s="139" t="s">
        <v>244</v>
      </c>
      <c r="X585" s="139" t="s">
        <v>244</v>
      </c>
      <c r="Y585" s="54">
        <v>0</v>
      </c>
    </row>
    <row r="586" spans="2:25" s="49" customFormat="1" ht="15.75" x14ac:dyDescent="0.25">
      <c r="B586" s="133"/>
      <c r="C586" s="134"/>
      <c r="D586" s="113"/>
      <c r="E586" s="114"/>
      <c r="F586" s="173"/>
      <c r="G586" s="116" t="s">
        <v>244</v>
      </c>
      <c r="H586" s="116" t="s">
        <v>244</v>
      </c>
      <c r="I586" s="113"/>
      <c r="J586" s="117" t="s">
        <v>244</v>
      </c>
      <c r="K586" s="118"/>
      <c r="L586" s="119">
        <v>0</v>
      </c>
      <c r="M586" s="120" t="s">
        <v>244</v>
      </c>
      <c r="N586" s="121" t="s">
        <v>244</v>
      </c>
      <c r="O586" s="122" t="s">
        <v>244</v>
      </c>
      <c r="P586" s="123" t="s">
        <v>244</v>
      </c>
      <c r="Q586" s="124"/>
      <c r="R586" s="135"/>
      <c r="S586" s="136"/>
      <c r="T586" s="137"/>
      <c r="U586" s="138" t="s">
        <v>244</v>
      </c>
      <c r="V586" s="138" t="s">
        <v>244</v>
      </c>
      <c r="W586" s="139" t="s">
        <v>244</v>
      </c>
      <c r="X586" s="139" t="s">
        <v>244</v>
      </c>
      <c r="Y586" s="54">
        <v>0</v>
      </c>
    </row>
    <row r="587" spans="2:25" s="49" customFormat="1" ht="15.75" x14ac:dyDescent="0.25">
      <c r="B587" s="133"/>
      <c r="C587" s="134"/>
      <c r="D587" s="113"/>
      <c r="E587" s="114"/>
      <c r="F587" s="173"/>
      <c r="G587" s="116" t="s">
        <v>244</v>
      </c>
      <c r="H587" s="116" t="s">
        <v>244</v>
      </c>
      <c r="I587" s="113"/>
      <c r="J587" s="117" t="s">
        <v>244</v>
      </c>
      <c r="K587" s="118"/>
      <c r="L587" s="119">
        <v>0</v>
      </c>
      <c r="M587" s="120" t="s">
        <v>244</v>
      </c>
      <c r="N587" s="121" t="s">
        <v>244</v>
      </c>
      <c r="O587" s="122" t="s">
        <v>244</v>
      </c>
      <c r="P587" s="123" t="s">
        <v>244</v>
      </c>
      <c r="Q587" s="124"/>
      <c r="R587" s="135"/>
      <c r="S587" s="136"/>
      <c r="T587" s="137"/>
      <c r="U587" s="138" t="s">
        <v>244</v>
      </c>
      <c r="V587" s="138" t="s">
        <v>244</v>
      </c>
      <c r="W587" s="139" t="s">
        <v>244</v>
      </c>
      <c r="X587" s="139" t="s">
        <v>244</v>
      </c>
      <c r="Y587" s="54">
        <v>0</v>
      </c>
    </row>
    <row r="588" spans="2:25" s="49" customFormat="1" ht="15.75" x14ac:dyDescent="0.25">
      <c r="B588" s="133"/>
      <c r="C588" s="134"/>
      <c r="D588" s="113"/>
      <c r="E588" s="114"/>
      <c r="F588" s="173"/>
      <c r="G588" s="116" t="s">
        <v>244</v>
      </c>
      <c r="H588" s="116" t="s">
        <v>244</v>
      </c>
      <c r="I588" s="113"/>
      <c r="J588" s="117" t="s">
        <v>244</v>
      </c>
      <c r="K588" s="118"/>
      <c r="L588" s="119">
        <v>0</v>
      </c>
      <c r="M588" s="120" t="s">
        <v>244</v>
      </c>
      <c r="N588" s="121" t="s">
        <v>244</v>
      </c>
      <c r="O588" s="122" t="s">
        <v>244</v>
      </c>
      <c r="P588" s="123" t="s">
        <v>244</v>
      </c>
      <c r="Q588" s="124"/>
      <c r="R588" s="135"/>
      <c r="S588" s="136"/>
      <c r="T588" s="137"/>
      <c r="U588" s="138" t="s">
        <v>244</v>
      </c>
      <c r="V588" s="138" t="s">
        <v>244</v>
      </c>
      <c r="W588" s="139" t="s">
        <v>244</v>
      </c>
      <c r="X588" s="139" t="s">
        <v>244</v>
      </c>
      <c r="Y588" s="54">
        <v>0</v>
      </c>
    </row>
    <row r="589" spans="2:25" s="49" customFormat="1" ht="15.75" x14ac:dyDescent="0.25">
      <c r="B589" s="133"/>
      <c r="C589" s="134"/>
      <c r="D589" s="113"/>
      <c r="E589" s="114"/>
      <c r="F589" s="173"/>
      <c r="G589" s="116" t="s">
        <v>244</v>
      </c>
      <c r="H589" s="116" t="s">
        <v>244</v>
      </c>
      <c r="I589" s="113"/>
      <c r="J589" s="117" t="s">
        <v>244</v>
      </c>
      <c r="K589" s="118"/>
      <c r="L589" s="119">
        <v>0</v>
      </c>
      <c r="M589" s="120" t="s">
        <v>244</v>
      </c>
      <c r="N589" s="121" t="s">
        <v>244</v>
      </c>
      <c r="O589" s="122" t="s">
        <v>244</v>
      </c>
      <c r="P589" s="123" t="s">
        <v>244</v>
      </c>
      <c r="Q589" s="124"/>
      <c r="R589" s="135"/>
      <c r="S589" s="136"/>
      <c r="T589" s="137"/>
      <c r="U589" s="138" t="s">
        <v>244</v>
      </c>
      <c r="V589" s="138" t="s">
        <v>244</v>
      </c>
      <c r="W589" s="139" t="s">
        <v>244</v>
      </c>
      <c r="X589" s="139" t="s">
        <v>244</v>
      </c>
      <c r="Y589" s="54">
        <v>0</v>
      </c>
    </row>
    <row r="590" spans="2:25" s="49" customFormat="1" ht="15.75" x14ac:dyDescent="0.25">
      <c r="B590" s="133"/>
      <c r="C590" s="134"/>
      <c r="D590" s="113"/>
      <c r="E590" s="114"/>
      <c r="F590" s="173"/>
      <c r="G590" s="116" t="s">
        <v>244</v>
      </c>
      <c r="H590" s="116" t="s">
        <v>244</v>
      </c>
      <c r="I590" s="113"/>
      <c r="J590" s="117" t="s">
        <v>244</v>
      </c>
      <c r="K590" s="118"/>
      <c r="L590" s="119">
        <v>0</v>
      </c>
      <c r="M590" s="120" t="s">
        <v>244</v>
      </c>
      <c r="N590" s="121" t="s">
        <v>244</v>
      </c>
      <c r="O590" s="122" t="s">
        <v>244</v>
      </c>
      <c r="P590" s="123" t="s">
        <v>244</v>
      </c>
      <c r="Q590" s="124"/>
      <c r="R590" s="135"/>
      <c r="S590" s="136"/>
      <c r="T590" s="137"/>
      <c r="U590" s="138" t="s">
        <v>244</v>
      </c>
      <c r="V590" s="138" t="s">
        <v>244</v>
      </c>
      <c r="W590" s="139" t="s">
        <v>244</v>
      </c>
      <c r="X590" s="139" t="s">
        <v>244</v>
      </c>
      <c r="Y590" s="54">
        <v>0</v>
      </c>
    </row>
    <row r="591" spans="2:25" s="49" customFormat="1" ht="15.75" x14ac:dyDescent="0.25">
      <c r="B591" s="133"/>
      <c r="C591" s="134"/>
      <c r="D591" s="113"/>
      <c r="E591" s="114"/>
      <c r="F591" s="173"/>
      <c r="G591" s="116" t="s">
        <v>244</v>
      </c>
      <c r="H591" s="116" t="s">
        <v>244</v>
      </c>
      <c r="I591" s="113"/>
      <c r="J591" s="117" t="s">
        <v>244</v>
      </c>
      <c r="K591" s="118"/>
      <c r="L591" s="119">
        <v>0</v>
      </c>
      <c r="M591" s="120" t="s">
        <v>244</v>
      </c>
      <c r="N591" s="121" t="s">
        <v>244</v>
      </c>
      <c r="O591" s="122" t="s">
        <v>244</v>
      </c>
      <c r="P591" s="123" t="s">
        <v>244</v>
      </c>
      <c r="Q591" s="124"/>
      <c r="R591" s="135"/>
      <c r="S591" s="136"/>
      <c r="T591" s="137"/>
      <c r="U591" s="138" t="s">
        <v>244</v>
      </c>
      <c r="V591" s="138" t="s">
        <v>244</v>
      </c>
      <c r="W591" s="139" t="s">
        <v>244</v>
      </c>
      <c r="X591" s="139" t="s">
        <v>244</v>
      </c>
      <c r="Y591" s="54">
        <v>0</v>
      </c>
    </row>
    <row r="592" spans="2:25" s="49" customFormat="1" ht="15.75" x14ac:dyDescent="0.25">
      <c r="B592" s="133"/>
      <c r="C592" s="134"/>
      <c r="D592" s="113"/>
      <c r="E592" s="114"/>
      <c r="F592" s="173"/>
      <c r="G592" s="116" t="s">
        <v>244</v>
      </c>
      <c r="H592" s="116" t="s">
        <v>244</v>
      </c>
      <c r="I592" s="113"/>
      <c r="J592" s="117" t="s">
        <v>244</v>
      </c>
      <c r="K592" s="118"/>
      <c r="L592" s="119">
        <v>0</v>
      </c>
      <c r="M592" s="120" t="s">
        <v>244</v>
      </c>
      <c r="N592" s="121" t="s">
        <v>244</v>
      </c>
      <c r="O592" s="122" t="s">
        <v>244</v>
      </c>
      <c r="P592" s="123" t="s">
        <v>244</v>
      </c>
      <c r="Q592" s="124"/>
      <c r="R592" s="135"/>
      <c r="S592" s="136"/>
      <c r="T592" s="137"/>
      <c r="U592" s="138" t="s">
        <v>244</v>
      </c>
      <c r="V592" s="138" t="s">
        <v>244</v>
      </c>
      <c r="W592" s="139" t="s">
        <v>244</v>
      </c>
      <c r="X592" s="139" t="s">
        <v>244</v>
      </c>
      <c r="Y592" s="54">
        <v>0</v>
      </c>
    </row>
    <row r="593" spans="2:25" s="49" customFormat="1" ht="15.75" x14ac:dyDescent="0.25">
      <c r="B593" s="133"/>
      <c r="C593" s="134"/>
      <c r="D593" s="113"/>
      <c r="E593" s="114"/>
      <c r="F593" s="173"/>
      <c r="G593" s="116" t="s">
        <v>244</v>
      </c>
      <c r="H593" s="116" t="s">
        <v>244</v>
      </c>
      <c r="I593" s="113"/>
      <c r="J593" s="117" t="s">
        <v>244</v>
      </c>
      <c r="K593" s="118"/>
      <c r="L593" s="119">
        <v>0</v>
      </c>
      <c r="M593" s="120" t="s">
        <v>244</v>
      </c>
      <c r="N593" s="121" t="s">
        <v>244</v>
      </c>
      <c r="O593" s="122" t="s">
        <v>244</v>
      </c>
      <c r="P593" s="123" t="s">
        <v>244</v>
      </c>
      <c r="Q593" s="124"/>
      <c r="R593" s="135"/>
      <c r="S593" s="136"/>
      <c r="T593" s="137"/>
      <c r="U593" s="138" t="s">
        <v>244</v>
      </c>
      <c r="V593" s="138" t="s">
        <v>244</v>
      </c>
      <c r="W593" s="139" t="s">
        <v>244</v>
      </c>
      <c r="X593" s="139" t="s">
        <v>244</v>
      </c>
      <c r="Y593" s="54">
        <v>0</v>
      </c>
    </row>
    <row r="594" spans="2:25" s="49" customFormat="1" ht="15.75" x14ac:dyDescent="0.25">
      <c r="B594" s="133"/>
      <c r="C594" s="134"/>
      <c r="D594" s="113"/>
      <c r="E594" s="114"/>
      <c r="F594" s="173"/>
      <c r="G594" s="116" t="s">
        <v>244</v>
      </c>
      <c r="H594" s="116" t="s">
        <v>244</v>
      </c>
      <c r="I594" s="113"/>
      <c r="J594" s="117" t="s">
        <v>244</v>
      </c>
      <c r="K594" s="118"/>
      <c r="L594" s="119">
        <v>0</v>
      </c>
      <c r="M594" s="120" t="s">
        <v>244</v>
      </c>
      <c r="N594" s="121" t="s">
        <v>244</v>
      </c>
      <c r="O594" s="122" t="s">
        <v>244</v>
      </c>
      <c r="P594" s="123" t="s">
        <v>244</v>
      </c>
      <c r="Q594" s="124"/>
      <c r="R594" s="135"/>
      <c r="S594" s="136"/>
      <c r="T594" s="137"/>
      <c r="U594" s="138" t="s">
        <v>244</v>
      </c>
      <c r="V594" s="138" t="s">
        <v>244</v>
      </c>
      <c r="W594" s="139" t="s">
        <v>244</v>
      </c>
      <c r="X594" s="139" t="s">
        <v>244</v>
      </c>
      <c r="Y594" s="54">
        <v>0</v>
      </c>
    </row>
    <row r="595" spans="2:25" s="49" customFormat="1" ht="15.75" x14ac:dyDescent="0.25">
      <c r="B595" s="133"/>
      <c r="C595" s="134"/>
      <c r="D595" s="113"/>
      <c r="E595" s="114"/>
      <c r="F595" s="173"/>
      <c r="G595" s="116" t="s">
        <v>244</v>
      </c>
      <c r="H595" s="116" t="s">
        <v>244</v>
      </c>
      <c r="I595" s="113"/>
      <c r="J595" s="117" t="s">
        <v>244</v>
      </c>
      <c r="K595" s="118"/>
      <c r="L595" s="119">
        <v>0</v>
      </c>
      <c r="M595" s="120" t="s">
        <v>244</v>
      </c>
      <c r="N595" s="121" t="s">
        <v>244</v>
      </c>
      <c r="O595" s="122" t="s">
        <v>244</v>
      </c>
      <c r="P595" s="123" t="s">
        <v>244</v>
      </c>
      <c r="Q595" s="124"/>
      <c r="R595" s="135"/>
      <c r="S595" s="136"/>
      <c r="T595" s="137"/>
      <c r="U595" s="138" t="s">
        <v>244</v>
      </c>
      <c r="V595" s="138" t="s">
        <v>244</v>
      </c>
      <c r="W595" s="139" t="s">
        <v>244</v>
      </c>
      <c r="X595" s="139" t="s">
        <v>244</v>
      </c>
      <c r="Y595" s="54">
        <v>0</v>
      </c>
    </row>
    <row r="596" spans="2:25" s="49" customFormat="1" ht="15.75" x14ac:dyDescent="0.25">
      <c r="B596" s="133"/>
      <c r="C596" s="134"/>
      <c r="D596" s="113"/>
      <c r="E596" s="114"/>
      <c r="F596" s="173"/>
      <c r="G596" s="116" t="s">
        <v>244</v>
      </c>
      <c r="H596" s="116" t="s">
        <v>244</v>
      </c>
      <c r="I596" s="113"/>
      <c r="J596" s="117" t="s">
        <v>244</v>
      </c>
      <c r="K596" s="118"/>
      <c r="L596" s="119">
        <v>0</v>
      </c>
      <c r="M596" s="120" t="s">
        <v>244</v>
      </c>
      <c r="N596" s="121" t="s">
        <v>244</v>
      </c>
      <c r="O596" s="122" t="s">
        <v>244</v>
      </c>
      <c r="P596" s="123" t="s">
        <v>244</v>
      </c>
      <c r="Q596" s="124"/>
      <c r="R596" s="135"/>
      <c r="S596" s="136"/>
      <c r="T596" s="137"/>
      <c r="U596" s="138" t="s">
        <v>244</v>
      </c>
      <c r="V596" s="138" t="s">
        <v>244</v>
      </c>
      <c r="W596" s="139" t="s">
        <v>244</v>
      </c>
      <c r="X596" s="139" t="s">
        <v>244</v>
      </c>
      <c r="Y596" s="54">
        <v>0</v>
      </c>
    </row>
    <row r="597" spans="2:25" s="49" customFormat="1" ht="15.75" x14ac:dyDescent="0.25">
      <c r="B597" s="133"/>
      <c r="C597" s="134"/>
      <c r="D597" s="113"/>
      <c r="E597" s="114"/>
      <c r="F597" s="173"/>
      <c r="G597" s="116" t="s">
        <v>244</v>
      </c>
      <c r="H597" s="116" t="s">
        <v>244</v>
      </c>
      <c r="I597" s="113"/>
      <c r="J597" s="117" t="s">
        <v>244</v>
      </c>
      <c r="K597" s="118"/>
      <c r="L597" s="119">
        <v>0</v>
      </c>
      <c r="M597" s="120" t="s">
        <v>244</v>
      </c>
      <c r="N597" s="121" t="s">
        <v>244</v>
      </c>
      <c r="O597" s="122" t="s">
        <v>244</v>
      </c>
      <c r="P597" s="123" t="s">
        <v>244</v>
      </c>
      <c r="Q597" s="124"/>
      <c r="R597" s="135"/>
      <c r="S597" s="136"/>
      <c r="T597" s="137"/>
      <c r="U597" s="138" t="s">
        <v>244</v>
      </c>
      <c r="V597" s="138" t="s">
        <v>244</v>
      </c>
      <c r="W597" s="139" t="s">
        <v>244</v>
      </c>
      <c r="X597" s="139" t="s">
        <v>244</v>
      </c>
      <c r="Y597" s="54">
        <v>0</v>
      </c>
    </row>
    <row r="598" spans="2:25" s="49" customFormat="1" ht="15.75" x14ac:dyDescent="0.25">
      <c r="B598" s="133"/>
      <c r="C598" s="134"/>
      <c r="D598" s="113"/>
      <c r="E598" s="114"/>
      <c r="F598" s="173"/>
      <c r="G598" s="116" t="s">
        <v>244</v>
      </c>
      <c r="H598" s="116" t="s">
        <v>244</v>
      </c>
      <c r="I598" s="113"/>
      <c r="J598" s="117" t="s">
        <v>244</v>
      </c>
      <c r="K598" s="118"/>
      <c r="L598" s="119">
        <v>0</v>
      </c>
      <c r="M598" s="120" t="s">
        <v>244</v>
      </c>
      <c r="N598" s="121" t="s">
        <v>244</v>
      </c>
      <c r="O598" s="122" t="s">
        <v>244</v>
      </c>
      <c r="P598" s="123" t="s">
        <v>244</v>
      </c>
      <c r="Q598" s="124"/>
      <c r="R598" s="135"/>
      <c r="S598" s="136"/>
      <c r="T598" s="137"/>
      <c r="U598" s="138" t="s">
        <v>244</v>
      </c>
      <c r="V598" s="138" t="s">
        <v>244</v>
      </c>
      <c r="W598" s="139" t="s">
        <v>244</v>
      </c>
      <c r="X598" s="139" t="s">
        <v>244</v>
      </c>
      <c r="Y598" s="54">
        <v>0</v>
      </c>
    </row>
    <row r="599" spans="2:25" s="49" customFormat="1" ht="15.75" x14ac:dyDescent="0.25">
      <c r="B599" s="133"/>
      <c r="C599" s="134"/>
      <c r="D599" s="113"/>
      <c r="E599" s="114"/>
      <c r="F599" s="173"/>
      <c r="G599" s="116" t="s">
        <v>244</v>
      </c>
      <c r="H599" s="116" t="s">
        <v>244</v>
      </c>
      <c r="I599" s="113"/>
      <c r="J599" s="117" t="s">
        <v>244</v>
      </c>
      <c r="K599" s="118"/>
      <c r="L599" s="119">
        <v>0</v>
      </c>
      <c r="M599" s="120" t="s">
        <v>244</v>
      </c>
      <c r="N599" s="121" t="s">
        <v>244</v>
      </c>
      <c r="O599" s="122" t="s">
        <v>244</v>
      </c>
      <c r="P599" s="123" t="s">
        <v>244</v>
      </c>
      <c r="Q599" s="124"/>
      <c r="R599" s="135"/>
      <c r="S599" s="136"/>
      <c r="T599" s="137"/>
      <c r="U599" s="138" t="s">
        <v>244</v>
      </c>
      <c r="V599" s="138" t="s">
        <v>244</v>
      </c>
      <c r="W599" s="139" t="s">
        <v>244</v>
      </c>
      <c r="X599" s="139" t="s">
        <v>244</v>
      </c>
      <c r="Y599" s="54">
        <v>0</v>
      </c>
    </row>
    <row r="600" spans="2:25" s="49" customFormat="1" ht="15.75" x14ac:dyDescent="0.25">
      <c r="B600" s="133"/>
      <c r="C600" s="134"/>
      <c r="D600" s="113"/>
      <c r="E600" s="114"/>
      <c r="F600" s="173"/>
      <c r="G600" s="116" t="s">
        <v>244</v>
      </c>
      <c r="H600" s="116" t="s">
        <v>244</v>
      </c>
      <c r="I600" s="113"/>
      <c r="J600" s="117" t="s">
        <v>244</v>
      </c>
      <c r="K600" s="118"/>
      <c r="L600" s="119">
        <v>0</v>
      </c>
      <c r="M600" s="120" t="s">
        <v>244</v>
      </c>
      <c r="N600" s="121" t="s">
        <v>244</v>
      </c>
      <c r="O600" s="122" t="s">
        <v>244</v>
      </c>
      <c r="P600" s="123" t="s">
        <v>244</v>
      </c>
      <c r="Q600" s="124"/>
      <c r="R600" s="135"/>
      <c r="S600" s="136"/>
      <c r="T600" s="137"/>
      <c r="U600" s="138" t="s">
        <v>244</v>
      </c>
      <c r="V600" s="138" t="s">
        <v>244</v>
      </c>
      <c r="W600" s="139" t="s">
        <v>244</v>
      </c>
      <c r="X600" s="139" t="s">
        <v>244</v>
      </c>
      <c r="Y600" s="54">
        <v>0</v>
      </c>
    </row>
    <row r="601" spans="2:25" s="49" customFormat="1" ht="15.75" x14ac:dyDescent="0.25">
      <c r="B601" s="133"/>
      <c r="C601" s="134"/>
      <c r="D601" s="113"/>
      <c r="E601" s="114"/>
      <c r="F601" s="173"/>
      <c r="G601" s="116" t="s">
        <v>244</v>
      </c>
      <c r="H601" s="116" t="s">
        <v>244</v>
      </c>
      <c r="I601" s="113"/>
      <c r="J601" s="117" t="s">
        <v>244</v>
      </c>
      <c r="K601" s="118"/>
      <c r="L601" s="119">
        <v>0</v>
      </c>
      <c r="M601" s="120" t="s">
        <v>244</v>
      </c>
      <c r="N601" s="121" t="s">
        <v>244</v>
      </c>
      <c r="O601" s="122" t="s">
        <v>244</v>
      </c>
      <c r="P601" s="123" t="s">
        <v>244</v>
      </c>
      <c r="Q601" s="124"/>
      <c r="R601" s="135"/>
      <c r="S601" s="136"/>
      <c r="T601" s="137"/>
      <c r="U601" s="138" t="s">
        <v>244</v>
      </c>
      <c r="V601" s="138" t="s">
        <v>244</v>
      </c>
      <c r="W601" s="139" t="s">
        <v>244</v>
      </c>
      <c r="X601" s="139" t="s">
        <v>244</v>
      </c>
      <c r="Y601" s="54">
        <v>0</v>
      </c>
    </row>
    <row r="602" spans="2:25" s="49" customFormat="1" ht="15.75" x14ac:dyDescent="0.25">
      <c r="B602" s="133"/>
      <c r="C602" s="134"/>
      <c r="D602" s="113"/>
      <c r="E602" s="114"/>
      <c r="F602" s="173"/>
      <c r="G602" s="116" t="s">
        <v>244</v>
      </c>
      <c r="H602" s="116" t="s">
        <v>244</v>
      </c>
      <c r="I602" s="113"/>
      <c r="J602" s="117" t="s">
        <v>244</v>
      </c>
      <c r="K602" s="118"/>
      <c r="L602" s="119">
        <v>0</v>
      </c>
      <c r="M602" s="120" t="s">
        <v>244</v>
      </c>
      <c r="N602" s="121" t="s">
        <v>244</v>
      </c>
      <c r="O602" s="122" t="s">
        <v>244</v>
      </c>
      <c r="P602" s="123" t="s">
        <v>244</v>
      </c>
      <c r="Q602" s="124"/>
      <c r="R602" s="135"/>
      <c r="S602" s="136"/>
      <c r="T602" s="137"/>
      <c r="U602" s="138" t="s">
        <v>244</v>
      </c>
      <c r="V602" s="138" t="s">
        <v>244</v>
      </c>
      <c r="W602" s="139" t="s">
        <v>244</v>
      </c>
      <c r="X602" s="139" t="s">
        <v>244</v>
      </c>
      <c r="Y602" s="54">
        <v>0</v>
      </c>
    </row>
    <row r="603" spans="2:25" s="49" customFormat="1" ht="15.75" x14ac:dyDescent="0.25">
      <c r="B603" s="133"/>
      <c r="C603" s="134"/>
      <c r="D603" s="113"/>
      <c r="E603" s="114"/>
      <c r="F603" s="173"/>
      <c r="G603" s="116" t="s">
        <v>244</v>
      </c>
      <c r="H603" s="116" t="s">
        <v>244</v>
      </c>
      <c r="I603" s="113"/>
      <c r="J603" s="117" t="s">
        <v>244</v>
      </c>
      <c r="K603" s="118"/>
      <c r="L603" s="119">
        <v>0</v>
      </c>
      <c r="M603" s="120" t="s">
        <v>244</v>
      </c>
      <c r="N603" s="121" t="s">
        <v>244</v>
      </c>
      <c r="O603" s="122" t="s">
        <v>244</v>
      </c>
      <c r="P603" s="123" t="s">
        <v>244</v>
      </c>
      <c r="Q603" s="124"/>
      <c r="R603" s="135"/>
      <c r="S603" s="136"/>
      <c r="T603" s="137"/>
      <c r="U603" s="138" t="s">
        <v>244</v>
      </c>
      <c r="V603" s="138" t="s">
        <v>244</v>
      </c>
      <c r="W603" s="139" t="s">
        <v>244</v>
      </c>
      <c r="X603" s="139" t="s">
        <v>244</v>
      </c>
      <c r="Y603" s="54">
        <v>0</v>
      </c>
    </row>
    <row r="604" spans="2:25" s="49" customFormat="1" ht="15.75" x14ac:dyDescent="0.25">
      <c r="B604" s="133"/>
      <c r="C604" s="134"/>
      <c r="D604" s="113"/>
      <c r="E604" s="114"/>
      <c r="F604" s="173"/>
      <c r="G604" s="116" t="s">
        <v>244</v>
      </c>
      <c r="H604" s="116" t="s">
        <v>244</v>
      </c>
      <c r="I604" s="113"/>
      <c r="J604" s="117" t="s">
        <v>244</v>
      </c>
      <c r="K604" s="118"/>
      <c r="L604" s="119">
        <v>0</v>
      </c>
      <c r="M604" s="120" t="s">
        <v>244</v>
      </c>
      <c r="N604" s="121" t="s">
        <v>244</v>
      </c>
      <c r="O604" s="122" t="s">
        <v>244</v>
      </c>
      <c r="P604" s="123" t="s">
        <v>244</v>
      </c>
      <c r="Q604" s="124"/>
      <c r="R604" s="135"/>
      <c r="S604" s="136"/>
      <c r="T604" s="137"/>
      <c r="U604" s="138" t="s">
        <v>244</v>
      </c>
      <c r="V604" s="138" t="s">
        <v>244</v>
      </c>
      <c r="W604" s="139" t="s">
        <v>244</v>
      </c>
      <c r="X604" s="139" t="s">
        <v>244</v>
      </c>
      <c r="Y604" s="54">
        <v>0</v>
      </c>
    </row>
    <row r="605" spans="2:25" s="49" customFormat="1" ht="15.75" x14ac:dyDescent="0.25">
      <c r="B605" s="133"/>
      <c r="C605" s="134"/>
      <c r="D605" s="113"/>
      <c r="E605" s="114"/>
      <c r="F605" s="173"/>
      <c r="G605" s="116" t="s">
        <v>244</v>
      </c>
      <c r="H605" s="116" t="s">
        <v>244</v>
      </c>
      <c r="I605" s="113"/>
      <c r="J605" s="117" t="s">
        <v>244</v>
      </c>
      <c r="K605" s="118"/>
      <c r="L605" s="119">
        <v>0</v>
      </c>
      <c r="M605" s="120" t="s">
        <v>244</v>
      </c>
      <c r="N605" s="121" t="s">
        <v>244</v>
      </c>
      <c r="O605" s="122" t="s">
        <v>244</v>
      </c>
      <c r="P605" s="123" t="s">
        <v>244</v>
      </c>
      <c r="Q605" s="124"/>
      <c r="R605" s="135"/>
      <c r="S605" s="136"/>
      <c r="T605" s="137"/>
      <c r="U605" s="138" t="s">
        <v>244</v>
      </c>
      <c r="V605" s="138" t="s">
        <v>244</v>
      </c>
      <c r="W605" s="139" t="s">
        <v>244</v>
      </c>
      <c r="X605" s="139" t="s">
        <v>244</v>
      </c>
      <c r="Y605" s="54">
        <v>0</v>
      </c>
    </row>
    <row r="606" spans="2:25" s="49" customFormat="1" ht="15.75" x14ac:dyDescent="0.25">
      <c r="B606" s="133"/>
      <c r="C606" s="134"/>
      <c r="D606" s="113"/>
      <c r="E606" s="114"/>
      <c r="F606" s="173"/>
      <c r="G606" s="116" t="s">
        <v>244</v>
      </c>
      <c r="H606" s="116" t="s">
        <v>244</v>
      </c>
      <c r="I606" s="113"/>
      <c r="J606" s="117" t="s">
        <v>244</v>
      </c>
      <c r="K606" s="118"/>
      <c r="L606" s="119">
        <v>0</v>
      </c>
      <c r="M606" s="120" t="s">
        <v>244</v>
      </c>
      <c r="N606" s="121" t="s">
        <v>244</v>
      </c>
      <c r="O606" s="122" t="s">
        <v>244</v>
      </c>
      <c r="P606" s="123" t="s">
        <v>244</v>
      </c>
      <c r="Q606" s="124"/>
      <c r="R606" s="135"/>
      <c r="S606" s="136"/>
      <c r="T606" s="137"/>
      <c r="U606" s="138" t="s">
        <v>244</v>
      </c>
      <c r="V606" s="138" t="s">
        <v>244</v>
      </c>
      <c r="W606" s="139" t="s">
        <v>244</v>
      </c>
      <c r="X606" s="139" t="s">
        <v>244</v>
      </c>
      <c r="Y606" s="54">
        <v>0</v>
      </c>
    </row>
    <row r="607" spans="2:25" s="49" customFormat="1" ht="15.75" x14ac:dyDescent="0.25">
      <c r="B607" s="133"/>
      <c r="C607" s="134"/>
      <c r="D607" s="113"/>
      <c r="E607" s="114"/>
      <c r="F607" s="173"/>
      <c r="G607" s="116" t="s">
        <v>244</v>
      </c>
      <c r="H607" s="116" t="s">
        <v>244</v>
      </c>
      <c r="I607" s="113"/>
      <c r="J607" s="117" t="s">
        <v>244</v>
      </c>
      <c r="K607" s="118"/>
      <c r="L607" s="119">
        <v>0</v>
      </c>
      <c r="M607" s="120" t="s">
        <v>244</v>
      </c>
      <c r="N607" s="121" t="s">
        <v>244</v>
      </c>
      <c r="O607" s="122" t="s">
        <v>244</v>
      </c>
      <c r="P607" s="123" t="s">
        <v>244</v>
      </c>
      <c r="Q607" s="124"/>
      <c r="R607" s="135"/>
      <c r="S607" s="136"/>
      <c r="T607" s="137"/>
      <c r="U607" s="138" t="s">
        <v>244</v>
      </c>
      <c r="V607" s="138" t="s">
        <v>244</v>
      </c>
      <c r="W607" s="139" t="s">
        <v>244</v>
      </c>
      <c r="X607" s="139" t="s">
        <v>244</v>
      </c>
      <c r="Y607" s="54">
        <v>0</v>
      </c>
    </row>
    <row r="608" spans="2:25" s="49" customFormat="1" ht="15.75" x14ac:dyDescent="0.25">
      <c r="B608" s="133"/>
      <c r="C608" s="134"/>
      <c r="D608" s="113"/>
      <c r="E608" s="114"/>
      <c r="F608" s="173"/>
      <c r="G608" s="116" t="s">
        <v>244</v>
      </c>
      <c r="H608" s="116" t="s">
        <v>244</v>
      </c>
      <c r="I608" s="113"/>
      <c r="J608" s="117" t="s">
        <v>244</v>
      </c>
      <c r="K608" s="118"/>
      <c r="L608" s="119">
        <v>0</v>
      </c>
      <c r="M608" s="120" t="s">
        <v>244</v>
      </c>
      <c r="N608" s="121" t="s">
        <v>244</v>
      </c>
      <c r="O608" s="122" t="s">
        <v>244</v>
      </c>
      <c r="P608" s="123" t="s">
        <v>244</v>
      </c>
      <c r="Q608" s="124"/>
      <c r="R608" s="135"/>
      <c r="S608" s="136"/>
      <c r="T608" s="137"/>
      <c r="U608" s="138" t="s">
        <v>244</v>
      </c>
      <c r="V608" s="138" t="s">
        <v>244</v>
      </c>
      <c r="W608" s="139" t="s">
        <v>244</v>
      </c>
      <c r="X608" s="139" t="s">
        <v>244</v>
      </c>
      <c r="Y608" s="54">
        <v>0</v>
      </c>
    </row>
    <row r="609" spans="2:25" s="49" customFormat="1" ht="15.75" x14ac:dyDescent="0.25">
      <c r="B609" s="133"/>
      <c r="C609" s="134"/>
      <c r="D609" s="113"/>
      <c r="E609" s="114"/>
      <c r="F609" s="173"/>
      <c r="G609" s="116" t="s">
        <v>244</v>
      </c>
      <c r="H609" s="116" t="s">
        <v>244</v>
      </c>
      <c r="I609" s="113"/>
      <c r="J609" s="117" t="s">
        <v>244</v>
      </c>
      <c r="K609" s="118"/>
      <c r="L609" s="119">
        <v>0</v>
      </c>
      <c r="M609" s="120" t="s">
        <v>244</v>
      </c>
      <c r="N609" s="121" t="s">
        <v>244</v>
      </c>
      <c r="O609" s="122" t="s">
        <v>244</v>
      </c>
      <c r="P609" s="123" t="s">
        <v>244</v>
      </c>
      <c r="Q609" s="124"/>
      <c r="R609" s="135"/>
      <c r="S609" s="136"/>
      <c r="T609" s="137"/>
      <c r="U609" s="138" t="s">
        <v>244</v>
      </c>
      <c r="V609" s="138" t="s">
        <v>244</v>
      </c>
      <c r="W609" s="139" t="s">
        <v>244</v>
      </c>
      <c r="X609" s="139" t="s">
        <v>244</v>
      </c>
      <c r="Y609" s="54">
        <v>0</v>
      </c>
    </row>
    <row r="610" spans="2:25" s="49" customFormat="1" ht="15.75" x14ac:dyDescent="0.25">
      <c r="B610" s="133"/>
      <c r="C610" s="134"/>
      <c r="D610" s="113"/>
      <c r="E610" s="114"/>
      <c r="F610" s="173"/>
      <c r="G610" s="116" t="s">
        <v>244</v>
      </c>
      <c r="H610" s="116" t="s">
        <v>244</v>
      </c>
      <c r="I610" s="113"/>
      <c r="J610" s="117" t="s">
        <v>244</v>
      </c>
      <c r="K610" s="118"/>
      <c r="L610" s="119">
        <v>0</v>
      </c>
      <c r="M610" s="120" t="s">
        <v>244</v>
      </c>
      <c r="N610" s="121" t="s">
        <v>244</v>
      </c>
      <c r="O610" s="122" t="s">
        <v>244</v>
      </c>
      <c r="P610" s="123" t="s">
        <v>244</v>
      </c>
      <c r="Q610" s="124"/>
      <c r="R610" s="135"/>
      <c r="S610" s="136"/>
      <c r="T610" s="137"/>
      <c r="U610" s="138" t="s">
        <v>244</v>
      </c>
      <c r="V610" s="138" t="s">
        <v>244</v>
      </c>
      <c r="W610" s="139" t="s">
        <v>244</v>
      </c>
      <c r="X610" s="139" t="s">
        <v>244</v>
      </c>
      <c r="Y610" s="54">
        <v>0</v>
      </c>
    </row>
    <row r="611" spans="2:25" s="49" customFormat="1" ht="15.75" x14ac:dyDescent="0.25">
      <c r="B611" s="133"/>
      <c r="C611" s="134"/>
      <c r="D611" s="113"/>
      <c r="E611" s="114"/>
      <c r="F611" s="173"/>
      <c r="G611" s="116" t="s">
        <v>244</v>
      </c>
      <c r="H611" s="116" t="s">
        <v>244</v>
      </c>
      <c r="I611" s="113"/>
      <c r="J611" s="117" t="s">
        <v>244</v>
      </c>
      <c r="K611" s="118"/>
      <c r="L611" s="119">
        <v>0</v>
      </c>
      <c r="M611" s="120" t="s">
        <v>244</v>
      </c>
      <c r="N611" s="121" t="s">
        <v>244</v>
      </c>
      <c r="O611" s="122" t="s">
        <v>244</v>
      </c>
      <c r="P611" s="123" t="s">
        <v>244</v>
      </c>
      <c r="Q611" s="124"/>
      <c r="R611" s="135"/>
      <c r="S611" s="136"/>
      <c r="T611" s="137"/>
      <c r="U611" s="138" t="s">
        <v>244</v>
      </c>
      <c r="V611" s="138" t="s">
        <v>244</v>
      </c>
      <c r="W611" s="139" t="s">
        <v>244</v>
      </c>
      <c r="X611" s="139" t="s">
        <v>244</v>
      </c>
      <c r="Y611" s="54">
        <v>0</v>
      </c>
    </row>
    <row r="612" spans="2:25" s="49" customFormat="1" ht="15.75" x14ac:dyDescent="0.25">
      <c r="B612" s="133"/>
      <c r="C612" s="134"/>
      <c r="D612" s="113"/>
      <c r="E612" s="114"/>
      <c r="F612" s="173"/>
      <c r="G612" s="116" t="s">
        <v>244</v>
      </c>
      <c r="H612" s="116" t="s">
        <v>244</v>
      </c>
      <c r="I612" s="113"/>
      <c r="J612" s="117" t="s">
        <v>244</v>
      </c>
      <c r="K612" s="118"/>
      <c r="L612" s="119">
        <v>0</v>
      </c>
      <c r="M612" s="120" t="s">
        <v>244</v>
      </c>
      <c r="N612" s="121" t="s">
        <v>244</v>
      </c>
      <c r="O612" s="122" t="s">
        <v>244</v>
      </c>
      <c r="P612" s="123" t="s">
        <v>244</v>
      </c>
      <c r="Q612" s="124"/>
      <c r="R612" s="135"/>
      <c r="S612" s="136"/>
      <c r="T612" s="137"/>
      <c r="U612" s="138" t="s">
        <v>244</v>
      </c>
      <c r="V612" s="138" t="s">
        <v>244</v>
      </c>
      <c r="W612" s="139" t="s">
        <v>244</v>
      </c>
      <c r="X612" s="139" t="s">
        <v>244</v>
      </c>
      <c r="Y612" s="54">
        <v>0</v>
      </c>
    </row>
    <row r="613" spans="2:25" s="49" customFormat="1" ht="15.75" x14ac:dyDescent="0.25">
      <c r="B613" s="133"/>
      <c r="C613" s="134"/>
      <c r="D613" s="113"/>
      <c r="E613" s="114"/>
      <c r="F613" s="173"/>
      <c r="G613" s="116" t="s">
        <v>244</v>
      </c>
      <c r="H613" s="116" t="s">
        <v>244</v>
      </c>
      <c r="I613" s="113"/>
      <c r="J613" s="117" t="s">
        <v>244</v>
      </c>
      <c r="K613" s="118"/>
      <c r="L613" s="119">
        <v>0</v>
      </c>
      <c r="M613" s="120" t="s">
        <v>244</v>
      </c>
      <c r="N613" s="121" t="s">
        <v>244</v>
      </c>
      <c r="O613" s="122" t="s">
        <v>244</v>
      </c>
      <c r="P613" s="123" t="s">
        <v>244</v>
      </c>
      <c r="Q613" s="124"/>
      <c r="R613" s="135"/>
      <c r="S613" s="136"/>
      <c r="T613" s="137"/>
      <c r="U613" s="138" t="s">
        <v>244</v>
      </c>
      <c r="V613" s="138" t="s">
        <v>244</v>
      </c>
      <c r="W613" s="139" t="s">
        <v>244</v>
      </c>
      <c r="X613" s="139" t="s">
        <v>244</v>
      </c>
      <c r="Y613" s="54">
        <v>0</v>
      </c>
    </row>
    <row r="614" spans="2:25" s="49" customFormat="1" ht="15.75" x14ac:dyDescent="0.25">
      <c r="B614" s="133"/>
      <c r="C614" s="134"/>
      <c r="D614" s="113"/>
      <c r="E614" s="114"/>
      <c r="F614" s="173"/>
      <c r="G614" s="116" t="s">
        <v>244</v>
      </c>
      <c r="H614" s="116" t="s">
        <v>244</v>
      </c>
      <c r="I614" s="113"/>
      <c r="J614" s="117" t="s">
        <v>244</v>
      </c>
      <c r="K614" s="118"/>
      <c r="L614" s="119">
        <v>0</v>
      </c>
      <c r="M614" s="120" t="s">
        <v>244</v>
      </c>
      <c r="N614" s="121" t="s">
        <v>244</v>
      </c>
      <c r="O614" s="122" t="s">
        <v>244</v>
      </c>
      <c r="P614" s="123" t="s">
        <v>244</v>
      </c>
      <c r="Q614" s="124"/>
      <c r="R614" s="135"/>
      <c r="S614" s="136"/>
      <c r="T614" s="137"/>
      <c r="U614" s="138" t="s">
        <v>244</v>
      </c>
      <c r="V614" s="138" t="s">
        <v>244</v>
      </c>
      <c r="W614" s="139" t="s">
        <v>244</v>
      </c>
      <c r="X614" s="139" t="s">
        <v>244</v>
      </c>
      <c r="Y614" s="54">
        <v>0</v>
      </c>
    </row>
    <row r="615" spans="2:25" s="49" customFormat="1" ht="15.75" x14ac:dyDescent="0.25">
      <c r="B615" s="133"/>
      <c r="C615" s="134"/>
      <c r="D615" s="113"/>
      <c r="E615" s="114"/>
      <c r="F615" s="173"/>
      <c r="G615" s="116" t="s">
        <v>244</v>
      </c>
      <c r="H615" s="116" t="s">
        <v>244</v>
      </c>
      <c r="I615" s="113"/>
      <c r="J615" s="117" t="s">
        <v>244</v>
      </c>
      <c r="K615" s="118"/>
      <c r="L615" s="119">
        <v>0</v>
      </c>
      <c r="M615" s="120" t="s">
        <v>244</v>
      </c>
      <c r="N615" s="121" t="s">
        <v>244</v>
      </c>
      <c r="O615" s="122" t="s">
        <v>244</v>
      </c>
      <c r="P615" s="123" t="s">
        <v>244</v>
      </c>
      <c r="Q615" s="124"/>
      <c r="R615" s="135"/>
      <c r="S615" s="136"/>
      <c r="T615" s="137"/>
      <c r="U615" s="138" t="s">
        <v>244</v>
      </c>
      <c r="V615" s="138" t="s">
        <v>244</v>
      </c>
      <c r="W615" s="139" t="s">
        <v>244</v>
      </c>
      <c r="X615" s="139" t="s">
        <v>244</v>
      </c>
      <c r="Y615" s="54">
        <v>0</v>
      </c>
    </row>
    <row r="616" spans="2:25" s="49" customFormat="1" ht="15.75" x14ac:dyDescent="0.25">
      <c r="B616" s="133"/>
      <c r="C616" s="134"/>
      <c r="D616" s="113"/>
      <c r="E616" s="114"/>
      <c r="F616" s="173"/>
      <c r="G616" s="116" t="s">
        <v>244</v>
      </c>
      <c r="H616" s="116" t="s">
        <v>244</v>
      </c>
      <c r="I616" s="113"/>
      <c r="J616" s="117" t="s">
        <v>244</v>
      </c>
      <c r="K616" s="118"/>
      <c r="L616" s="119">
        <v>0</v>
      </c>
      <c r="M616" s="120" t="s">
        <v>244</v>
      </c>
      <c r="N616" s="121" t="s">
        <v>244</v>
      </c>
      <c r="O616" s="122" t="s">
        <v>244</v>
      </c>
      <c r="P616" s="123" t="s">
        <v>244</v>
      </c>
      <c r="Q616" s="124"/>
      <c r="R616" s="135"/>
      <c r="S616" s="136"/>
      <c r="T616" s="137"/>
      <c r="U616" s="138" t="s">
        <v>244</v>
      </c>
      <c r="V616" s="138" t="s">
        <v>244</v>
      </c>
      <c r="W616" s="139" t="s">
        <v>244</v>
      </c>
      <c r="X616" s="139" t="s">
        <v>244</v>
      </c>
      <c r="Y616" s="54">
        <v>0</v>
      </c>
    </row>
    <row r="617" spans="2:25" s="49" customFormat="1" ht="15.75" x14ac:dyDescent="0.25">
      <c r="B617" s="133"/>
      <c r="C617" s="134"/>
      <c r="D617" s="113"/>
      <c r="E617" s="114"/>
      <c r="F617" s="173"/>
      <c r="G617" s="116" t="s">
        <v>244</v>
      </c>
      <c r="H617" s="116" t="s">
        <v>244</v>
      </c>
      <c r="I617" s="113"/>
      <c r="J617" s="117" t="s">
        <v>244</v>
      </c>
      <c r="K617" s="118"/>
      <c r="L617" s="119">
        <v>0</v>
      </c>
      <c r="M617" s="120" t="s">
        <v>244</v>
      </c>
      <c r="N617" s="121" t="s">
        <v>244</v>
      </c>
      <c r="O617" s="122" t="s">
        <v>244</v>
      </c>
      <c r="P617" s="123" t="s">
        <v>244</v>
      </c>
      <c r="Q617" s="124"/>
      <c r="R617" s="135"/>
      <c r="S617" s="136"/>
      <c r="T617" s="137"/>
      <c r="U617" s="138" t="s">
        <v>244</v>
      </c>
      <c r="V617" s="138" t="s">
        <v>244</v>
      </c>
      <c r="W617" s="139" t="s">
        <v>244</v>
      </c>
      <c r="X617" s="139" t="s">
        <v>244</v>
      </c>
      <c r="Y617" s="54">
        <v>0</v>
      </c>
    </row>
    <row r="618" spans="2:25" s="49" customFormat="1" ht="15.75" x14ac:dyDescent="0.25">
      <c r="B618" s="133"/>
      <c r="C618" s="134"/>
      <c r="D618" s="113"/>
      <c r="E618" s="114"/>
      <c r="F618" s="173"/>
      <c r="G618" s="116" t="s">
        <v>244</v>
      </c>
      <c r="H618" s="116" t="s">
        <v>244</v>
      </c>
      <c r="I618" s="113"/>
      <c r="J618" s="117" t="s">
        <v>244</v>
      </c>
      <c r="K618" s="118"/>
      <c r="L618" s="119">
        <v>0</v>
      </c>
      <c r="M618" s="120" t="s">
        <v>244</v>
      </c>
      <c r="N618" s="121" t="s">
        <v>244</v>
      </c>
      <c r="O618" s="122" t="s">
        <v>244</v>
      </c>
      <c r="P618" s="123" t="s">
        <v>244</v>
      </c>
      <c r="Q618" s="124"/>
      <c r="R618" s="135"/>
      <c r="S618" s="136"/>
      <c r="T618" s="137"/>
      <c r="U618" s="138" t="s">
        <v>244</v>
      </c>
      <c r="V618" s="138" t="s">
        <v>244</v>
      </c>
      <c r="W618" s="139" t="s">
        <v>244</v>
      </c>
      <c r="X618" s="139" t="s">
        <v>244</v>
      </c>
      <c r="Y618" s="54">
        <v>0</v>
      </c>
    </row>
    <row r="619" spans="2:25" s="49" customFormat="1" ht="15.75" x14ac:dyDescent="0.25">
      <c r="B619" s="133"/>
      <c r="C619" s="134"/>
      <c r="D619" s="113"/>
      <c r="E619" s="114"/>
      <c r="F619" s="173"/>
      <c r="G619" s="116" t="s">
        <v>244</v>
      </c>
      <c r="H619" s="116" t="s">
        <v>244</v>
      </c>
      <c r="I619" s="113"/>
      <c r="J619" s="117" t="s">
        <v>244</v>
      </c>
      <c r="K619" s="118"/>
      <c r="L619" s="119">
        <v>0</v>
      </c>
      <c r="M619" s="120" t="s">
        <v>244</v>
      </c>
      <c r="N619" s="121" t="s">
        <v>244</v>
      </c>
      <c r="O619" s="122" t="s">
        <v>244</v>
      </c>
      <c r="P619" s="123" t="s">
        <v>244</v>
      </c>
      <c r="Q619" s="124"/>
      <c r="R619" s="135"/>
      <c r="S619" s="136"/>
      <c r="T619" s="137"/>
      <c r="U619" s="138" t="s">
        <v>244</v>
      </c>
      <c r="V619" s="138" t="s">
        <v>244</v>
      </c>
      <c r="W619" s="139" t="s">
        <v>244</v>
      </c>
      <c r="X619" s="139" t="s">
        <v>244</v>
      </c>
      <c r="Y619" s="54">
        <v>0</v>
      </c>
    </row>
    <row r="620" spans="2:25" s="49" customFormat="1" ht="15.75" x14ac:dyDescent="0.25">
      <c r="B620" s="133"/>
      <c r="C620" s="134"/>
      <c r="D620" s="113"/>
      <c r="E620" s="114"/>
      <c r="F620" s="173"/>
      <c r="G620" s="116" t="s">
        <v>244</v>
      </c>
      <c r="H620" s="116" t="s">
        <v>244</v>
      </c>
      <c r="I620" s="113"/>
      <c r="J620" s="117" t="s">
        <v>244</v>
      </c>
      <c r="K620" s="118"/>
      <c r="L620" s="119">
        <v>0</v>
      </c>
      <c r="M620" s="120" t="s">
        <v>244</v>
      </c>
      <c r="N620" s="121" t="s">
        <v>244</v>
      </c>
      <c r="O620" s="122" t="s">
        <v>244</v>
      </c>
      <c r="P620" s="123" t="s">
        <v>244</v>
      </c>
      <c r="Q620" s="124"/>
      <c r="R620" s="135"/>
      <c r="S620" s="136"/>
      <c r="T620" s="137"/>
      <c r="U620" s="138" t="s">
        <v>244</v>
      </c>
      <c r="V620" s="138" t="s">
        <v>244</v>
      </c>
      <c r="W620" s="139" t="s">
        <v>244</v>
      </c>
      <c r="X620" s="139" t="s">
        <v>244</v>
      </c>
      <c r="Y620" s="54">
        <v>0</v>
      </c>
    </row>
    <row r="621" spans="2:25" s="49" customFormat="1" ht="15.75" x14ac:dyDescent="0.25">
      <c r="B621" s="133"/>
      <c r="C621" s="134"/>
      <c r="D621" s="113"/>
      <c r="E621" s="114"/>
      <c r="F621" s="173"/>
      <c r="G621" s="116" t="s">
        <v>244</v>
      </c>
      <c r="H621" s="116" t="s">
        <v>244</v>
      </c>
      <c r="I621" s="113"/>
      <c r="J621" s="117" t="s">
        <v>244</v>
      </c>
      <c r="K621" s="118"/>
      <c r="L621" s="119">
        <v>0</v>
      </c>
      <c r="M621" s="120" t="s">
        <v>244</v>
      </c>
      <c r="N621" s="121" t="s">
        <v>244</v>
      </c>
      <c r="O621" s="122" t="s">
        <v>244</v>
      </c>
      <c r="P621" s="123" t="s">
        <v>244</v>
      </c>
      <c r="Q621" s="124"/>
      <c r="R621" s="135"/>
      <c r="S621" s="136"/>
      <c r="T621" s="137"/>
      <c r="U621" s="138" t="s">
        <v>244</v>
      </c>
      <c r="V621" s="138" t="s">
        <v>244</v>
      </c>
      <c r="W621" s="139" t="s">
        <v>244</v>
      </c>
      <c r="X621" s="139" t="s">
        <v>244</v>
      </c>
      <c r="Y621" s="54">
        <v>0</v>
      </c>
    </row>
    <row r="622" spans="2:25" s="49" customFormat="1" ht="15.75" x14ac:dyDescent="0.25">
      <c r="B622" s="133"/>
      <c r="C622" s="134"/>
      <c r="D622" s="113"/>
      <c r="E622" s="114"/>
      <c r="F622" s="173"/>
      <c r="G622" s="116" t="s">
        <v>244</v>
      </c>
      <c r="H622" s="116" t="s">
        <v>244</v>
      </c>
      <c r="I622" s="113"/>
      <c r="J622" s="117" t="s">
        <v>244</v>
      </c>
      <c r="K622" s="118"/>
      <c r="L622" s="119">
        <v>0</v>
      </c>
      <c r="M622" s="120" t="s">
        <v>244</v>
      </c>
      <c r="N622" s="121" t="s">
        <v>244</v>
      </c>
      <c r="O622" s="122" t="s">
        <v>244</v>
      </c>
      <c r="P622" s="123" t="s">
        <v>244</v>
      </c>
      <c r="Q622" s="124"/>
      <c r="R622" s="135"/>
      <c r="S622" s="136"/>
      <c r="T622" s="137"/>
      <c r="U622" s="138" t="s">
        <v>244</v>
      </c>
      <c r="V622" s="138" t="s">
        <v>244</v>
      </c>
      <c r="W622" s="139" t="s">
        <v>244</v>
      </c>
      <c r="X622" s="139" t="s">
        <v>244</v>
      </c>
      <c r="Y622" s="54">
        <v>0</v>
      </c>
    </row>
    <row r="623" spans="2:25" s="49" customFormat="1" ht="15.75" x14ac:dyDescent="0.25">
      <c r="B623" s="133"/>
      <c r="C623" s="134"/>
      <c r="D623" s="113"/>
      <c r="E623" s="114"/>
      <c r="F623" s="173"/>
      <c r="G623" s="116" t="s">
        <v>244</v>
      </c>
      <c r="H623" s="116" t="s">
        <v>244</v>
      </c>
      <c r="I623" s="113"/>
      <c r="J623" s="117" t="s">
        <v>244</v>
      </c>
      <c r="K623" s="118"/>
      <c r="L623" s="119">
        <v>0</v>
      </c>
      <c r="M623" s="120" t="s">
        <v>244</v>
      </c>
      <c r="N623" s="121" t="s">
        <v>244</v>
      </c>
      <c r="O623" s="122" t="s">
        <v>244</v>
      </c>
      <c r="P623" s="123" t="s">
        <v>244</v>
      </c>
      <c r="Q623" s="124"/>
      <c r="R623" s="135"/>
      <c r="S623" s="136"/>
      <c r="T623" s="137"/>
      <c r="U623" s="138" t="s">
        <v>244</v>
      </c>
      <c r="V623" s="138" t="s">
        <v>244</v>
      </c>
      <c r="W623" s="139" t="s">
        <v>244</v>
      </c>
      <c r="X623" s="139" t="s">
        <v>244</v>
      </c>
      <c r="Y623" s="54">
        <v>0</v>
      </c>
    </row>
    <row r="624" spans="2:25" s="49" customFormat="1" ht="15.75" x14ac:dyDescent="0.25">
      <c r="B624" s="133"/>
      <c r="C624" s="134"/>
      <c r="D624" s="113"/>
      <c r="E624" s="114"/>
      <c r="F624" s="173"/>
      <c r="G624" s="116" t="s">
        <v>244</v>
      </c>
      <c r="H624" s="116" t="s">
        <v>244</v>
      </c>
      <c r="I624" s="113"/>
      <c r="J624" s="117" t="s">
        <v>244</v>
      </c>
      <c r="K624" s="118"/>
      <c r="L624" s="119">
        <v>0</v>
      </c>
      <c r="M624" s="120" t="s">
        <v>244</v>
      </c>
      <c r="N624" s="121" t="s">
        <v>244</v>
      </c>
      <c r="O624" s="122" t="s">
        <v>244</v>
      </c>
      <c r="P624" s="123" t="s">
        <v>244</v>
      </c>
      <c r="Q624" s="124"/>
      <c r="R624" s="135"/>
      <c r="S624" s="136"/>
      <c r="T624" s="137"/>
      <c r="U624" s="138" t="s">
        <v>244</v>
      </c>
      <c r="V624" s="138" t="s">
        <v>244</v>
      </c>
      <c r="W624" s="139" t="s">
        <v>244</v>
      </c>
      <c r="X624" s="139" t="s">
        <v>244</v>
      </c>
      <c r="Y624" s="54">
        <v>0</v>
      </c>
    </row>
    <row r="625" spans="2:25" s="49" customFormat="1" ht="15.75" x14ac:dyDescent="0.25">
      <c r="B625" s="133"/>
      <c r="C625" s="134"/>
      <c r="D625" s="113"/>
      <c r="E625" s="114"/>
      <c r="F625" s="173"/>
      <c r="G625" s="116" t="s">
        <v>244</v>
      </c>
      <c r="H625" s="116" t="s">
        <v>244</v>
      </c>
      <c r="I625" s="113"/>
      <c r="J625" s="117" t="s">
        <v>244</v>
      </c>
      <c r="K625" s="118"/>
      <c r="L625" s="119">
        <v>0</v>
      </c>
      <c r="M625" s="120" t="s">
        <v>244</v>
      </c>
      <c r="N625" s="121" t="s">
        <v>244</v>
      </c>
      <c r="O625" s="122" t="s">
        <v>244</v>
      </c>
      <c r="P625" s="123" t="s">
        <v>244</v>
      </c>
      <c r="Q625" s="124"/>
      <c r="R625" s="135"/>
      <c r="S625" s="136"/>
      <c r="T625" s="137"/>
      <c r="U625" s="138" t="s">
        <v>244</v>
      </c>
      <c r="V625" s="138" t="s">
        <v>244</v>
      </c>
      <c r="W625" s="139" t="s">
        <v>244</v>
      </c>
      <c r="X625" s="139" t="s">
        <v>244</v>
      </c>
      <c r="Y625" s="54">
        <v>0</v>
      </c>
    </row>
    <row r="626" spans="2:25" s="49" customFormat="1" ht="15.75" x14ac:dyDescent="0.25">
      <c r="B626" s="133"/>
      <c r="C626" s="134"/>
      <c r="D626" s="113"/>
      <c r="E626" s="114"/>
      <c r="F626" s="173"/>
      <c r="G626" s="116" t="s">
        <v>244</v>
      </c>
      <c r="H626" s="116" t="s">
        <v>244</v>
      </c>
      <c r="I626" s="113"/>
      <c r="J626" s="117" t="s">
        <v>244</v>
      </c>
      <c r="K626" s="118"/>
      <c r="L626" s="119">
        <v>0</v>
      </c>
      <c r="M626" s="120" t="s">
        <v>244</v>
      </c>
      <c r="N626" s="121" t="s">
        <v>244</v>
      </c>
      <c r="O626" s="122" t="s">
        <v>244</v>
      </c>
      <c r="P626" s="123" t="s">
        <v>244</v>
      </c>
      <c r="Q626" s="124"/>
      <c r="R626" s="135"/>
      <c r="S626" s="136"/>
      <c r="T626" s="137"/>
      <c r="U626" s="138" t="s">
        <v>244</v>
      </c>
      <c r="V626" s="138" t="s">
        <v>244</v>
      </c>
      <c r="W626" s="139" t="s">
        <v>244</v>
      </c>
      <c r="X626" s="139" t="s">
        <v>244</v>
      </c>
      <c r="Y626" s="54">
        <v>0</v>
      </c>
    </row>
    <row r="627" spans="2:25" s="49" customFormat="1" ht="15.75" x14ac:dyDescent="0.25">
      <c r="B627" s="133"/>
      <c r="C627" s="134"/>
      <c r="D627" s="113"/>
      <c r="E627" s="114"/>
      <c r="F627" s="173"/>
      <c r="G627" s="116" t="s">
        <v>244</v>
      </c>
      <c r="H627" s="116" t="s">
        <v>244</v>
      </c>
      <c r="I627" s="113"/>
      <c r="J627" s="117" t="s">
        <v>244</v>
      </c>
      <c r="K627" s="118"/>
      <c r="L627" s="119">
        <v>0</v>
      </c>
      <c r="M627" s="120" t="s">
        <v>244</v>
      </c>
      <c r="N627" s="121" t="s">
        <v>244</v>
      </c>
      <c r="O627" s="122" t="s">
        <v>244</v>
      </c>
      <c r="P627" s="123" t="s">
        <v>244</v>
      </c>
      <c r="Q627" s="124"/>
      <c r="R627" s="135"/>
      <c r="S627" s="136"/>
      <c r="T627" s="137"/>
      <c r="U627" s="138" t="s">
        <v>244</v>
      </c>
      <c r="V627" s="138" t="s">
        <v>244</v>
      </c>
      <c r="W627" s="139" t="s">
        <v>244</v>
      </c>
      <c r="X627" s="139" t="s">
        <v>244</v>
      </c>
      <c r="Y627" s="54">
        <v>0</v>
      </c>
    </row>
    <row r="628" spans="2:25" s="49" customFormat="1" ht="15.75" x14ac:dyDescent="0.25">
      <c r="B628" s="133"/>
      <c r="C628" s="134"/>
      <c r="D628" s="113"/>
      <c r="E628" s="114"/>
      <c r="F628" s="173"/>
      <c r="G628" s="116" t="s">
        <v>244</v>
      </c>
      <c r="H628" s="116" t="s">
        <v>244</v>
      </c>
      <c r="I628" s="113"/>
      <c r="J628" s="117" t="s">
        <v>244</v>
      </c>
      <c r="K628" s="118"/>
      <c r="L628" s="119">
        <v>0</v>
      </c>
      <c r="M628" s="120" t="s">
        <v>244</v>
      </c>
      <c r="N628" s="121" t="s">
        <v>244</v>
      </c>
      <c r="O628" s="122" t="s">
        <v>244</v>
      </c>
      <c r="P628" s="123" t="s">
        <v>244</v>
      </c>
      <c r="Q628" s="124"/>
      <c r="R628" s="135"/>
      <c r="S628" s="136"/>
      <c r="T628" s="137"/>
      <c r="U628" s="138" t="s">
        <v>244</v>
      </c>
      <c r="V628" s="138" t="s">
        <v>244</v>
      </c>
      <c r="W628" s="139" t="s">
        <v>244</v>
      </c>
      <c r="X628" s="139" t="s">
        <v>244</v>
      </c>
      <c r="Y628" s="54">
        <v>0</v>
      </c>
    </row>
    <row r="629" spans="2:25" s="49" customFormat="1" ht="15.75" x14ac:dyDescent="0.25">
      <c r="B629" s="133"/>
      <c r="C629" s="134"/>
      <c r="D629" s="113"/>
      <c r="E629" s="114"/>
      <c r="F629" s="173"/>
      <c r="G629" s="116" t="s">
        <v>244</v>
      </c>
      <c r="H629" s="116" t="s">
        <v>244</v>
      </c>
      <c r="I629" s="113"/>
      <c r="J629" s="117" t="s">
        <v>244</v>
      </c>
      <c r="K629" s="118"/>
      <c r="L629" s="119">
        <v>0</v>
      </c>
      <c r="M629" s="120" t="s">
        <v>244</v>
      </c>
      <c r="N629" s="121" t="s">
        <v>244</v>
      </c>
      <c r="O629" s="122" t="s">
        <v>244</v>
      </c>
      <c r="P629" s="123" t="s">
        <v>244</v>
      </c>
      <c r="Q629" s="124"/>
      <c r="R629" s="135"/>
      <c r="S629" s="136"/>
      <c r="T629" s="137"/>
      <c r="U629" s="138" t="s">
        <v>244</v>
      </c>
      <c r="V629" s="138" t="s">
        <v>244</v>
      </c>
      <c r="W629" s="139" t="s">
        <v>244</v>
      </c>
      <c r="X629" s="139" t="s">
        <v>244</v>
      </c>
      <c r="Y629" s="54">
        <v>0</v>
      </c>
    </row>
    <row r="630" spans="2:25" s="49" customFormat="1" ht="15.75" x14ac:dyDescent="0.25">
      <c r="B630" s="133"/>
      <c r="C630" s="134"/>
      <c r="D630" s="113"/>
      <c r="E630" s="114"/>
      <c r="F630" s="173"/>
      <c r="G630" s="116" t="s">
        <v>244</v>
      </c>
      <c r="H630" s="116" t="s">
        <v>244</v>
      </c>
      <c r="I630" s="113"/>
      <c r="J630" s="117" t="s">
        <v>244</v>
      </c>
      <c r="K630" s="118"/>
      <c r="L630" s="119">
        <v>0</v>
      </c>
      <c r="M630" s="120" t="s">
        <v>244</v>
      </c>
      <c r="N630" s="121" t="s">
        <v>244</v>
      </c>
      <c r="O630" s="122" t="s">
        <v>244</v>
      </c>
      <c r="P630" s="123" t="s">
        <v>244</v>
      </c>
      <c r="Q630" s="124"/>
      <c r="R630" s="135"/>
      <c r="S630" s="136"/>
      <c r="T630" s="137"/>
      <c r="U630" s="138" t="s">
        <v>244</v>
      </c>
      <c r="V630" s="138" t="s">
        <v>244</v>
      </c>
      <c r="W630" s="139" t="s">
        <v>244</v>
      </c>
      <c r="X630" s="139" t="s">
        <v>244</v>
      </c>
      <c r="Y630" s="54">
        <v>0</v>
      </c>
    </row>
    <row r="631" spans="2:25" s="49" customFormat="1" ht="15.75" x14ac:dyDescent="0.25">
      <c r="B631" s="133"/>
      <c r="C631" s="134"/>
      <c r="D631" s="113"/>
      <c r="E631" s="114"/>
      <c r="F631" s="173"/>
      <c r="G631" s="116" t="s">
        <v>244</v>
      </c>
      <c r="H631" s="116" t="s">
        <v>244</v>
      </c>
      <c r="I631" s="113"/>
      <c r="J631" s="117" t="s">
        <v>244</v>
      </c>
      <c r="K631" s="118"/>
      <c r="L631" s="119">
        <v>0</v>
      </c>
      <c r="M631" s="120" t="s">
        <v>244</v>
      </c>
      <c r="N631" s="121" t="s">
        <v>244</v>
      </c>
      <c r="O631" s="122" t="s">
        <v>244</v>
      </c>
      <c r="P631" s="123" t="s">
        <v>244</v>
      </c>
      <c r="Q631" s="124"/>
      <c r="R631" s="135"/>
      <c r="S631" s="136"/>
      <c r="T631" s="137"/>
      <c r="U631" s="138" t="s">
        <v>244</v>
      </c>
      <c r="V631" s="138" t="s">
        <v>244</v>
      </c>
      <c r="W631" s="139" t="s">
        <v>244</v>
      </c>
      <c r="X631" s="139" t="s">
        <v>244</v>
      </c>
      <c r="Y631" s="54">
        <v>0</v>
      </c>
    </row>
    <row r="632" spans="2:25" s="49" customFormat="1" ht="15.75" x14ac:dyDescent="0.25">
      <c r="B632" s="133"/>
      <c r="C632" s="134"/>
      <c r="D632" s="113"/>
      <c r="E632" s="114"/>
      <c r="F632" s="173"/>
      <c r="G632" s="116" t="s">
        <v>244</v>
      </c>
      <c r="H632" s="116" t="s">
        <v>244</v>
      </c>
      <c r="I632" s="113"/>
      <c r="J632" s="117" t="s">
        <v>244</v>
      </c>
      <c r="K632" s="118"/>
      <c r="L632" s="119">
        <v>0</v>
      </c>
      <c r="M632" s="120" t="s">
        <v>244</v>
      </c>
      <c r="N632" s="121" t="s">
        <v>244</v>
      </c>
      <c r="O632" s="122" t="s">
        <v>244</v>
      </c>
      <c r="P632" s="123" t="s">
        <v>244</v>
      </c>
      <c r="Q632" s="124"/>
      <c r="R632" s="135"/>
      <c r="S632" s="136"/>
      <c r="T632" s="137"/>
      <c r="U632" s="138" t="s">
        <v>244</v>
      </c>
      <c r="V632" s="138" t="s">
        <v>244</v>
      </c>
      <c r="W632" s="139" t="s">
        <v>244</v>
      </c>
      <c r="X632" s="139" t="s">
        <v>244</v>
      </c>
      <c r="Y632" s="54">
        <v>0</v>
      </c>
    </row>
    <row r="633" spans="2:25" s="49" customFormat="1" ht="15.75" x14ac:dyDescent="0.25">
      <c r="B633" s="133"/>
      <c r="C633" s="134"/>
      <c r="D633" s="113"/>
      <c r="E633" s="114"/>
      <c r="F633" s="173"/>
      <c r="G633" s="116" t="s">
        <v>244</v>
      </c>
      <c r="H633" s="116" t="s">
        <v>244</v>
      </c>
      <c r="I633" s="113"/>
      <c r="J633" s="117" t="s">
        <v>244</v>
      </c>
      <c r="K633" s="118"/>
      <c r="L633" s="119">
        <v>0</v>
      </c>
      <c r="M633" s="120" t="s">
        <v>244</v>
      </c>
      <c r="N633" s="121" t="s">
        <v>244</v>
      </c>
      <c r="O633" s="122" t="s">
        <v>244</v>
      </c>
      <c r="P633" s="123" t="s">
        <v>244</v>
      </c>
      <c r="Q633" s="124"/>
      <c r="R633" s="135"/>
      <c r="S633" s="136"/>
      <c r="T633" s="137"/>
      <c r="U633" s="138" t="s">
        <v>244</v>
      </c>
      <c r="V633" s="138" t="s">
        <v>244</v>
      </c>
      <c r="W633" s="139" t="s">
        <v>244</v>
      </c>
      <c r="X633" s="139" t="s">
        <v>244</v>
      </c>
      <c r="Y633" s="54">
        <v>0</v>
      </c>
    </row>
    <row r="634" spans="2:25" s="49" customFormat="1" ht="15.75" x14ac:dyDescent="0.25">
      <c r="B634" s="133"/>
      <c r="C634" s="134"/>
      <c r="D634" s="113"/>
      <c r="E634" s="114"/>
      <c r="F634" s="173"/>
      <c r="G634" s="116" t="s">
        <v>244</v>
      </c>
      <c r="H634" s="116" t="s">
        <v>244</v>
      </c>
      <c r="I634" s="113"/>
      <c r="J634" s="117" t="s">
        <v>244</v>
      </c>
      <c r="K634" s="118"/>
      <c r="L634" s="119">
        <v>0</v>
      </c>
      <c r="M634" s="120" t="s">
        <v>244</v>
      </c>
      <c r="N634" s="121" t="s">
        <v>244</v>
      </c>
      <c r="O634" s="122" t="s">
        <v>244</v>
      </c>
      <c r="P634" s="123" t="s">
        <v>244</v>
      </c>
      <c r="Q634" s="124"/>
      <c r="R634" s="135"/>
      <c r="S634" s="136"/>
      <c r="T634" s="137"/>
      <c r="U634" s="138" t="s">
        <v>244</v>
      </c>
      <c r="V634" s="138" t="s">
        <v>244</v>
      </c>
      <c r="W634" s="139" t="s">
        <v>244</v>
      </c>
      <c r="X634" s="139" t="s">
        <v>244</v>
      </c>
      <c r="Y634" s="54">
        <v>0</v>
      </c>
    </row>
    <row r="635" spans="2:25" s="49" customFormat="1" ht="15.75" x14ac:dyDescent="0.25">
      <c r="B635" s="133"/>
      <c r="C635" s="134"/>
      <c r="D635" s="113"/>
      <c r="E635" s="114"/>
      <c r="F635" s="173"/>
      <c r="G635" s="116" t="s">
        <v>244</v>
      </c>
      <c r="H635" s="116" t="s">
        <v>244</v>
      </c>
      <c r="I635" s="113"/>
      <c r="J635" s="117" t="s">
        <v>244</v>
      </c>
      <c r="K635" s="118"/>
      <c r="L635" s="119">
        <v>0</v>
      </c>
      <c r="M635" s="120" t="s">
        <v>244</v>
      </c>
      <c r="N635" s="121" t="s">
        <v>244</v>
      </c>
      <c r="O635" s="122" t="s">
        <v>244</v>
      </c>
      <c r="P635" s="123" t="s">
        <v>244</v>
      </c>
      <c r="Q635" s="124"/>
      <c r="R635" s="135"/>
      <c r="S635" s="136"/>
      <c r="T635" s="137"/>
      <c r="U635" s="138" t="s">
        <v>244</v>
      </c>
      <c r="V635" s="138" t="s">
        <v>244</v>
      </c>
      <c r="W635" s="139" t="s">
        <v>244</v>
      </c>
      <c r="X635" s="139" t="s">
        <v>244</v>
      </c>
      <c r="Y635" s="54">
        <v>0</v>
      </c>
    </row>
    <row r="636" spans="2:25" s="49" customFormat="1" ht="15.75" x14ac:dyDescent="0.25">
      <c r="B636" s="133"/>
      <c r="C636" s="134"/>
      <c r="D636" s="113"/>
      <c r="E636" s="114"/>
      <c r="F636" s="173"/>
      <c r="G636" s="116" t="s">
        <v>244</v>
      </c>
      <c r="H636" s="116" t="s">
        <v>244</v>
      </c>
      <c r="I636" s="113"/>
      <c r="J636" s="117" t="s">
        <v>244</v>
      </c>
      <c r="K636" s="118"/>
      <c r="L636" s="119">
        <v>0</v>
      </c>
      <c r="M636" s="120" t="s">
        <v>244</v>
      </c>
      <c r="N636" s="121" t="s">
        <v>244</v>
      </c>
      <c r="O636" s="122" t="s">
        <v>244</v>
      </c>
      <c r="P636" s="123" t="s">
        <v>244</v>
      </c>
      <c r="Q636" s="124"/>
      <c r="R636" s="135"/>
      <c r="S636" s="136"/>
      <c r="T636" s="137"/>
      <c r="U636" s="138" t="s">
        <v>244</v>
      </c>
      <c r="V636" s="138" t="s">
        <v>244</v>
      </c>
      <c r="W636" s="139" t="s">
        <v>244</v>
      </c>
      <c r="X636" s="139" t="s">
        <v>244</v>
      </c>
      <c r="Y636" s="54">
        <v>0</v>
      </c>
    </row>
    <row r="637" spans="2:25" s="49" customFormat="1" ht="15.75" x14ac:dyDescent="0.25">
      <c r="B637" s="133"/>
      <c r="C637" s="134"/>
      <c r="D637" s="113"/>
      <c r="E637" s="114"/>
      <c r="F637" s="173"/>
      <c r="G637" s="116" t="s">
        <v>244</v>
      </c>
      <c r="H637" s="116" t="s">
        <v>244</v>
      </c>
      <c r="I637" s="113"/>
      <c r="J637" s="117" t="s">
        <v>244</v>
      </c>
      <c r="K637" s="118"/>
      <c r="L637" s="119">
        <v>0</v>
      </c>
      <c r="M637" s="120" t="s">
        <v>244</v>
      </c>
      <c r="N637" s="121" t="s">
        <v>244</v>
      </c>
      <c r="O637" s="122" t="s">
        <v>244</v>
      </c>
      <c r="P637" s="123" t="s">
        <v>244</v>
      </c>
      <c r="Q637" s="124"/>
      <c r="R637" s="135"/>
      <c r="S637" s="136"/>
      <c r="T637" s="137"/>
      <c r="U637" s="138" t="s">
        <v>244</v>
      </c>
      <c r="V637" s="138" t="s">
        <v>244</v>
      </c>
      <c r="W637" s="139" t="s">
        <v>244</v>
      </c>
      <c r="X637" s="139" t="s">
        <v>244</v>
      </c>
      <c r="Y637" s="54">
        <v>0</v>
      </c>
    </row>
    <row r="638" spans="2:25" s="49" customFormat="1" ht="15.75" x14ac:dyDescent="0.25">
      <c r="B638" s="133"/>
      <c r="C638" s="134"/>
      <c r="D638" s="113"/>
      <c r="E638" s="114"/>
      <c r="F638" s="173"/>
      <c r="G638" s="116" t="s">
        <v>244</v>
      </c>
      <c r="H638" s="116" t="s">
        <v>244</v>
      </c>
      <c r="I638" s="113"/>
      <c r="J638" s="117" t="s">
        <v>244</v>
      </c>
      <c r="K638" s="118"/>
      <c r="L638" s="119">
        <v>0</v>
      </c>
      <c r="M638" s="120" t="s">
        <v>244</v>
      </c>
      <c r="N638" s="121" t="s">
        <v>244</v>
      </c>
      <c r="O638" s="122" t="s">
        <v>244</v>
      </c>
      <c r="P638" s="123" t="s">
        <v>244</v>
      </c>
      <c r="Q638" s="124"/>
      <c r="R638" s="135"/>
      <c r="S638" s="136"/>
      <c r="T638" s="137"/>
      <c r="U638" s="138" t="s">
        <v>244</v>
      </c>
      <c r="V638" s="138" t="s">
        <v>244</v>
      </c>
      <c r="W638" s="139" t="s">
        <v>244</v>
      </c>
      <c r="X638" s="139" t="s">
        <v>244</v>
      </c>
      <c r="Y638" s="54">
        <v>0</v>
      </c>
    </row>
    <row r="639" spans="2:25" s="49" customFormat="1" ht="15.75" x14ac:dyDescent="0.25">
      <c r="B639" s="133"/>
      <c r="C639" s="134"/>
      <c r="D639" s="113"/>
      <c r="E639" s="114"/>
      <c r="F639" s="173"/>
      <c r="G639" s="116" t="s">
        <v>244</v>
      </c>
      <c r="H639" s="116" t="s">
        <v>244</v>
      </c>
      <c r="I639" s="113"/>
      <c r="J639" s="117" t="s">
        <v>244</v>
      </c>
      <c r="K639" s="118"/>
      <c r="L639" s="119">
        <v>0</v>
      </c>
      <c r="M639" s="120" t="s">
        <v>244</v>
      </c>
      <c r="N639" s="121" t="s">
        <v>244</v>
      </c>
      <c r="O639" s="122" t="s">
        <v>244</v>
      </c>
      <c r="P639" s="123" t="s">
        <v>244</v>
      </c>
      <c r="Q639" s="124"/>
      <c r="R639" s="135"/>
      <c r="S639" s="136"/>
      <c r="T639" s="137"/>
      <c r="U639" s="138" t="s">
        <v>244</v>
      </c>
      <c r="V639" s="138" t="s">
        <v>244</v>
      </c>
      <c r="W639" s="139" t="s">
        <v>244</v>
      </c>
      <c r="X639" s="139" t="s">
        <v>244</v>
      </c>
      <c r="Y639" s="54">
        <v>0</v>
      </c>
    </row>
    <row r="640" spans="2:25" s="49" customFormat="1" ht="15.75" x14ac:dyDescent="0.25">
      <c r="B640" s="133"/>
      <c r="C640" s="134"/>
      <c r="D640" s="113"/>
      <c r="E640" s="114"/>
      <c r="F640" s="173"/>
      <c r="G640" s="116" t="s">
        <v>244</v>
      </c>
      <c r="H640" s="116" t="s">
        <v>244</v>
      </c>
      <c r="I640" s="113"/>
      <c r="J640" s="117" t="s">
        <v>244</v>
      </c>
      <c r="K640" s="118"/>
      <c r="L640" s="119">
        <v>0</v>
      </c>
      <c r="M640" s="120" t="s">
        <v>244</v>
      </c>
      <c r="N640" s="121" t="s">
        <v>244</v>
      </c>
      <c r="O640" s="122" t="s">
        <v>244</v>
      </c>
      <c r="P640" s="123" t="s">
        <v>244</v>
      </c>
      <c r="Q640" s="124"/>
      <c r="R640" s="135"/>
      <c r="S640" s="136"/>
      <c r="T640" s="137"/>
      <c r="U640" s="138" t="s">
        <v>244</v>
      </c>
      <c r="V640" s="138" t="s">
        <v>244</v>
      </c>
      <c r="W640" s="139" t="s">
        <v>244</v>
      </c>
      <c r="X640" s="139" t="s">
        <v>244</v>
      </c>
      <c r="Y640" s="54">
        <v>0</v>
      </c>
    </row>
    <row r="641" spans="2:25" s="49" customFormat="1" ht="15.75" x14ac:dyDescent="0.25">
      <c r="B641" s="133"/>
      <c r="C641" s="134"/>
      <c r="D641" s="113"/>
      <c r="E641" s="114"/>
      <c r="F641" s="173"/>
      <c r="G641" s="116" t="s">
        <v>244</v>
      </c>
      <c r="H641" s="116" t="s">
        <v>244</v>
      </c>
      <c r="I641" s="113"/>
      <c r="J641" s="117" t="s">
        <v>244</v>
      </c>
      <c r="K641" s="118"/>
      <c r="L641" s="119">
        <v>0</v>
      </c>
      <c r="M641" s="120" t="s">
        <v>244</v>
      </c>
      <c r="N641" s="121" t="s">
        <v>244</v>
      </c>
      <c r="O641" s="122" t="s">
        <v>244</v>
      </c>
      <c r="P641" s="123" t="s">
        <v>244</v>
      </c>
      <c r="Q641" s="124"/>
      <c r="R641" s="135"/>
      <c r="S641" s="136"/>
      <c r="T641" s="137"/>
      <c r="U641" s="138" t="s">
        <v>244</v>
      </c>
      <c r="V641" s="138" t="s">
        <v>244</v>
      </c>
      <c r="W641" s="139" t="s">
        <v>244</v>
      </c>
      <c r="X641" s="139" t="s">
        <v>244</v>
      </c>
      <c r="Y641" s="54">
        <v>0</v>
      </c>
    </row>
    <row r="642" spans="2:25" s="49" customFormat="1" ht="15.75" x14ac:dyDescent="0.25">
      <c r="B642" s="133"/>
      <c r="C642" s="134"/>
      <c r="D642" s="113"/>
      <c r="E642" s="114"/>
      <c r="F642" s="173"/>
      <c r="G642" s="116" t="s">
        <v>244</v>
      </c>
      <c r="H642" s="116" t="s">
        <v>244</v>
      </c>
      <c r="I642" s="113"/>
      <c r="J642" s="117" t="s">
        <v>244</v>
      </c>
      <c r="K642" s="118"/>
      <c r="L642" s="119">
        <v>0</v>
      </c>
      <c r="M642" s="120" t="s">
        <v>244</v>
      </c>
      <c r="N642" s="121" t="s">
        <v>244</v>
      </c>
      <c r="O642" s="122" t="s">
        <v>244</v>
      </c>
      <c r="P642" s="123" t="s">
        <v>244</v>
      </c>
      <c r="Q642" s="124"/>
      <c r="R642" s="135"/>
      <c r="S642" s="136"/>
      <c r="T642" s="137"/>
      <c r="U642" s="138" t="s">
        <v>244</v>
      </c>
      <c r="V642" s="138" t="s">
        <v>244</v>
      </c>
      <c r="W642" s="139" t="s">
        <v>244</v>
      </c>
      <c r="X642" s="139" t="s">
        <v>244</v>
      </c>
      <c r="Y642" s="54">
        <v>0</v>
      </c>
    </row>
    <row r="643" spans="2:25" s="49" customFormat="1" ht="15.75" x14ac:dyDescent="0.25">
      <c r="B643" s="133"/>
      <c r="C643" s="134"/>
      <c r="D643" s="113"/>
      <c r="E643" s="114"/>
      <c r="F643" s="173"/>
      <c r="G643" s="116" t="s">
        <v>244</v>
      </c>
      <c r="H643" s="116" t="s">
        <v>244</v>
      </c>
      <c r="I643" s="113"/>
      <c r="J643" s="117" t="s">
        <v>244</v>
      </c>
      <c r="K643" s="118"/>
      <c r="L643" s="119">
        <v>0</v>
      </c>
      <c r="M643" s="120" t="s">
        <v>244</v>
      </c>
      <c r="N643" s="121" t="s">
        <v>244</v>
      </c>
      <c r="O643" s="122" t="s">
        <v>244</v>
      </c>
      <c r="P643" s="123" t="s">
        <v>244</v>
      </c>
      <c r="Q643" s="124"/>
      <c r="R643" s="135"/>
      <c r="S643" s="136"/>
      <c r="T643" s="137"/>
      <c r="U643" s="138" t="s">
        <v>244</v>
      </c>
      <c r="V643" s="138" t="s">
        <v>244</v>
      </c>
      <c r="W643" s="139" t="s">
        <v>244</v>
      </c>
      <c r="X643" s="139" t="s">
        <v>244</v>
      </c>
      <c r="Y643" s="54">
        <v>0</v>
      </c>
    </row>
    <row r="644" spans="2:25" s="49" customFormat="1" ht="15.75" x14ac:dyDescent="0.25">
      <c r="B644" s="133"/>
      <c r="C644" s="134"/>
      <c r="D644" s="113"/>
      <c r="E644" s="114"/>
      <c r="F644" s="173"/>
      <c r="G644" s="116" t="s">
        <v>244</v>
      </c>
      <c r="H644" s="116" t="s">
        <v>244</v>
      </c>
      <c r="I644" s="113"/>
      <c r="J644" s="117" t="s">
        <v>244</v>
      </c>
      <c r="K644" s="118"/>
      <c r="L644" s="119">
        <v>0</v>
      </c>
      <c r="M644" s="120" t="s">
        <v>244</v>
      </c>
      <c r="N644" s="121" t="s">
        <v>244</v>
      </c>
      <c r="O644" s="122" t="s">
        <v>244</v>
      </c>
      <c r="P644" s="123" t="s">
        <v>244</v>
      </c>
      <c r="Q644" s="124"/>
      <c r="R644" s="135"/>
      <c r="S644" s="136"/>
      <c r="T644" s="137"/>
      <c r="U644" s="138" t="s">
        <v>244</v>
      </c>
      <c r="V644" s="138" t="s">
        <v>244</v>
      </c>
      <c r="W644" s="139" t="s">
        <v>244</v>
      </c>
      <c r="X644" s="139" t="s">
        <v>244</v>
      </c>
      <c r="Y644" s="54">
        <v>0</v>
      </c>
    </row>
    <row r="645" spans="2:25" s="49" customFormat="1" ht="15.75" x14ac:dyDescent="0.25">
      <c r="B645" s="133"/>
      <c r="C645" s="134"/>
      <c r="D645" s="113"/>
      <c r="E645" s="114"/>
      <c r="F645" s="173"/>
      <c r="G645" s="116" t="s">
        <v>244</v>
      </c>
      <c r="H645" s="116" t="s">
        <v>244</v>
      </c>
      <c r="I645" s="113"/>
      <c r="J645" s="117" t="s">
        <v>244</v>
      </c>
      <c r="K645" s="118"/>
      <c r="L645" s="119">
        <v>0</v>
      </c>
      <c r="M645" s="120" t="s">
        <v>244</v>
      </c>
      <c r="N645" s="121" t="s">
        <v>244</v>
      </c>
      <c r="O645" s="122" t="s">
        <v>244</v>
      </c>
      <c r="P645" s="123" t="s">
        <v>244</v>
      </c>
      <c r="Q645" s="124"/>
      <c r="R645" s="135"/>
      <c r="S645" s="136"/>
      <c r="T645" s="137"/>
      <c r="U645" s="138" t="s">
        <v>244</v>
      </c>
      <c r="V645" s="138" t="s">
        <v>244</v>
      </c>
      <c r="W645" s="139" t="s">
        <v>244</v>
      </c>
      <c r="X645" s="139" t="s">
        <v>244</v>
      </c>
      <c r="Y645" s="54">
        <v>0</v>
      </c>
    </row>
    <row r="646" spans="2:25" s="49" customFormat="1" ht="15.75" x14ac:dyDescent="0.25">
      <c r="B646" s="133"/>
      <c r="C646" s="134"/>
      <c r="D646" s="113"/>
      <c r="E646" s="114"/>
      <c r="F646" s="173"/>
      <c r="G646" s="116" t="s">
        <v>244</v>
      </c>
      <c r="H646" s="116" t="s">
        <v>244</v>
      </c>
      <c r="I646" s="113"/>
      <c r="J646" s="117" t="s">
        <v>244</v>
      </c>
      <c r="K646" s="118"/>
      <c r="L646" s="119">
        <v>0</v>
      </c>
      <c r="M646" s="120" t="s">
        <v>244</v>
      </c>
      <c r="N646" s="121" t="s">
        <v>244</v>
      </c>
      <c r="O646" s="122" t="s">
        <v>244</v>
      </c>
      <c r="P646" s="123" t="s">
        <v>244</v>
      </c>
      <c r="Q646" s="124"/>
      <c r="R646" s="135"/>
      <c r="S646" s="136"/>
      <c r="T646" s="137"/>
      <c r="U646" s="138" t="s">
        <v>244</v>
      </c>
      <c r="V646" s="138" t="s">
        <v>244</v>
      </c>
      <c r="W646" s="139" t="s">
        <v>244</v>
      </c>
      <c r="X646" s="139" t="s">
        <v>244</v>
      </c>
      <c r="Y646" s="54">
        <v>0</v>
      </c>
    </row>
    <row r="647" spans="2:25" s="49" customFormat="1" ht="15.75" x14ac:dyDescent="0.25">
      <c r="B647" s="133"/>
      <c r="C647" s="134"/>
      <c r="D647" s="113"/>
      <c r="E647" s="114"/>
      <c r="F647" s="173"/>
      <c r="G647" s="116" t="s">
        <v>244</v>
      </c>
      <c r="H647" s="116" t="s">
        <v>244</v>
      </c>
      <c r="I647" s="113"/>
      <c r="J647" s="117" t="s">
        <v>244</v>
      </c>
      <c r="K647" s="118"/>
      <c r="L647" s="119">
        <v>0</v>
      </c>
      <c r="M647" s="120" t="s">
        <v>244</v>
      </c>
      <c r="N647" s="121" t="s">
        <v>244</v>
      </c>
      <c r="O647" s="122" t="s">
        <v>244</v>
      </c>
      <c r="P647" s="123" t="s">
        <v>244</v>
      </c>
      <c r="Q647" s="124"/>
      <c r="R647" s="135"/>
      <c r="S647" s="136"/>
      <c r="T647" s="137"/>
      <c r="U647" s="138" t="s">
        <v>244</v>
      </c>
      <c r="V647" s="138" t="s">
        <v>244</v>
      </c>
      <c r="W647" s="139" t="s">
        <v>244</v>
      </c>
      <c r="X647" s="139" t="s">
        <v>244</v>
      </c>
      <c r="Y647" s="54">
        <v>0</v>
      </c>
    </row>
    <row r="648" spans="2:25" s="49" customFormat="1" ht="15.75" x14ac:dyDescent="0.25">
      <c r="B648" s="133"/>
      <c r="C648" s="134"/>
      <c r="D648" s="113"/>
      <c r="E648" s="114"/>
      <c r="F648" s="173"/>
      <c r="G648" s="116" t="s">
        <v>244</v>
      </c>
      <c r="H648" s="116" t="s">
        <v>244</v>
      </c>
      <c r="I648" s="113"/>
      <c r="J648" s="117" t="s">
        <v>244</v>
      </c>
      <c r="K648" s="118"/>
      <c r="L648" s="119">
        <v>0</v>
      </c>
      <c r="M648" s="120" t="s">
        <v>244</v>
      </c>
      <c r="N648" s="121" t="s">
        <v>244</v>
      </c>
      <c r="O648" s="122" t="s">
        <v>244</v>
      </c>
      <c r="P648" s="123" t="s">
        <v>244</v>
      </c>
      <c r="Q648" s="124"/>
      <c r="R648" s="135"/>
      <c r="S648" s="136"/>
      <c r="T648" s="137"/>
      <c r="U648" s="138" t="s">
        <v>244</v>
      </c>
      <c r="V648" s="138" t="s">
        <v>244</v>
      </c>
      <c r="W648" s="139" t="s">
        <v>244</v>
      </c>
      <c r="X648" s="139" t="s">
        <v>244</v>
      </c>
      <c r="Y648" s="54">
        <v>0</v>
      </c>
    </row>
    <row r="649" spans="2:25" s="49" customFormat="1" ht="15.75" x14ac:dyDescent="0.25">
      <c r="B649" s="133"/>
      <c r="C649" s="134"/>
      <c r="D649" s="113"/>
      <c r="E649" s="114"/>
      <c r="F649" s="173"/>
      <c r="G649" s="116" t="s">
        <v>244</v>
      </c>
      <c r="H649" s="116" t="s">
        <v>244</v>
      </c>
      <c r="I649" s="113"/>
      <c r="J649" s="117" t="s">
        <v>244</v>
      </c>
      <c r="K649" s="118"/>
      <c r="L649" s="119">
        <v>0</v>
      </c>
      <c r="M649" s="120" t="s">
        <v>244</v>
      </c>
      <c r="N649" s="121" t="s">
        <v>244</v>
      </c>
      <c r="O649" s="122" t="s">
        <v>244</v>
      </c>
      <c r="P649" s="123" t="s">
        <v>244</v>
      </c>
      <c r="Q649" s="124"/>
      <c r="R649" s="135"/>
      <c r="S649" s="136"/>
      <c r="T649" s="137"/>
      <c r="U649" s="138" t="s">
        <v>244</v>
      </c>
      <c r="V649" s="138" t="s">
        <v>244</v>
      </c>
      <c r="W649" s="139" t="s">
        <v>244</v>
      </c>
      <c r="X649" s="139" t="s">
        <v>244</v>
      </c>
      <c r="Y649" s="54">
        <v>0</v>
      </c>
    </row>
    <row r="650" spans="2:25" s="49" customFormat="1" ht="15.75" x14ac:dyDescent="0.25">
      <c r="B650" s="133"/>
      <c r="C650" s="134"/>
      <c r="D650" s="113"/>
      <c r="E650" s="114"/>
      <c r="F650" s="173"/>
      <c r="G650" s="116" t="s">
        <v>244</v>
      </c>
      <c r="H650" s="116" t="s">
        <v>244</v>
      </c>
      <c r="I650" s="113"/>
      <c r="J650" s="117" t="s">
        <v>244</v>
      </c>
      <c r="K650" s="118"/>
      <c r="L650" s="119">
        <v>0</v>
      </c>
      <c r="M650" s="120" t="s">
        <v>244</v>
      </c>
      <c r="N650" s="121" t="s">
        <v>244</v>
      </c>
      <c r="O650" s="122" t="s">
        <v>244</v>
      </c>
      <c r="P650" s="123" t="s">
        <v>244</v>
      </c>
      <c r="Q650" s="124"/>
      <c r="R650" s="135"/>
      <c r="S650" s="136"/>
      <c r="T650" s="137"/>
      <c r="U650" s="138" t="s">
        <v>244</v>
      </c>
      <c r="V650" s="138" t="s">
        <v>244</v>
      </c>
      <c r="W650" s="139" t="s">
        <v>244</v>
      </c>
      <c r="X650" s="139" t="s">
        <v>244</v>
      </c>
      <c r="Y650" s="54">
        <v>0</v>
      </c>
    </row>
    <row r="651" spans="2:25" s="49" customFormat="1" ht="15.75" x14ac:dyDescent="0.25">
      <c r="B651" s="133"/>
      <c r="C651" s="134"/>
      <c r="D651" s="113"/>
      <c r="E651" s="114"/>
      <c r="F651" s="173"/>
      <c r="G651" s="116" t="s">
        <v>244</v>
      </c>
      <c r="H651" s="116" t="s">
        <v>244</v>
      </c>
      <c r="I651" s="113"/>
      <c r="J651" s="117" t="s">
        <v>244</v>
      </c>
      <c r="K651" s="118"/>
      <c r="L651" s="119">
        <v>0</v>
      </c>
      <c r="M651" s="120" t="s">
        <v>244</v>
      </c>
      <c r="N651" s="121" t="s">
        <v>244</v>
      </c>
      <c r="O651" s="122" t="s">
        <v>244</v>
      </c>
      <c r="P651" s="123" t="s">
        <v>244</v>
      </c>
      <c r="Q651" s="124"/>
      <c r="R651" s="135"/>
      <c r="S651" s="136"/>
      <c r="T651" s="137"/>
      <c r="U651" s="138" t="s">
        <v>244</v>
      </c>
      <c r="V651" s="138" t="s">
        <v>244</v>
      </c>
      <c r="W651" s="139" t="s">
        <v>244</v>
      </c>
      <c r="X651" s="139" t="s">
        <v>244</v>
      </c>
      <c r="Y651" s="54">
        <v>0</v>
      </c>
    </row>
    <row r="652" spans="2:25" s="49" customFormat="1" ht="15.75" x14ac:dyDescent="0.25">
      <c r="B652" s="133"/>
      <c r="C652" s="134"/>
      <c r="D652" s="113"/>
      <c r="E652" s="114"/>
      <c r="F652" s="173"/>
      <c r="G652" s="116" t="s">
        <v>244</v>
      </c>
      <c r="H652" s="116" t="s">
        <v>244</v>
      </c>
      <c r="I652" s="113"/>
      <c r="J652" s="117" t="s">
        <v>244</v>
      </c>
      <c r="K652" s="118"/>
      <c r="L652" s="119">
        <v>0</v>
      </c>
      <c r="M652" s="120" t="s">
        <v>244</v>
      </c>
      <c r="N652" s="121" t="s">
        <v>244</v>
      </c>
      <c r="O652" s="122" t="s">
        <v>244</v>
      </c>
      <c r="P652" s="123" t="s">
        <v>244</v>
      </c>
      <c r="Q652" s="124"/>
      <c r="R652" s="135"/>
      <c r="S652" s="136"/>
      <c r="T652" s="137"/>
      <c r="U652" s="138" t="s">
        <v>244</v>
      </c>
      <c r="V652" s="138" t="s">
        <v>244</v>
      </c>
      <c r="W652" s="139" t="s">
        <v>244</v>
      </c>
      <c r="X652" s="139" t="s">
        <v>244</v>
      </c>
      <c r="Y652" s="54">
        <v>0</v>
      </c>
    </row>
    <row r="653" spans="2:25" s="49" customFormat="1" ht="15.75" x14ac:dyDescent="0.25">
      <c r="B653" s="133"/>
      <c r="C653" s="134"/>
      <c r="D653" s="113"/>
      <c r="E653" s="114"/>
      <c r="F653" s="173"/>
      <c r="G653" s="116" t="s">
        <v>244</v>
      </c>
      <c r="H653" s="116" t="s">
        <v>244</v>
      </c>
      <c r="I653" s="113"/>
      <c r="J653" s="117" t="s">
        <v>244</v>
      </c>
      <c r="K653" s="118"/>
      <c r="L653" s="119">
        <v>0</v>
      </c>
      <c r="M653" s="120" t="s">
        <v>244</v>
      </c>
      <c r="N653" s="121" t="s">
        <v>244</v>
      </c>
      <c r="O653" s="122" t="s">
        <v>244</v>
      </c>
      <c r="P653" s="123" t="s">
        <v>244</v>
      </c>
      <c r="Q653" s="124"/>
      <c r="R653" s="135"/>
      <c r="S653" s="136"/>
      <c r="T653" s="137"/>
      <c r="U653" s="138" t="s">
        <v>244</v>
      </c>
      <c r="V653" s="138" t="s">
        <v>244</v>
      </c>
      <c r="W653" s="139" t="s">
        <v>244</v>
      </c>
      <c r="X653" s="139" t="s">
        <v>244</v>
      </c>
      <c r="Y653" s="54">
        <v>0</v>
      </c>
    </row>
    <row r="654" spans="2:25" s="49" customFormat="1" ht="15.75" x14ac:dyDescent="0.25">
      <c r="B654" s="133"/>
      <c r="C654" s="134"/>
      <c r="D654" s="113"/>
      <c r="E654" s="114"/>
      <c r="F654" s="173"/>
      <c r="G654" s="116" t="s">
        <v>244</v>
      </c>
      <c r="H654" s="116" t="s">
        <v>244</v>
      </c>
      <c r="I654" s="113"/>
      <c r="J654" s="117" t="s">
        <v>244</v>
      </c>
      <c r="K654" s="118"/>
      <c r="L654" s="119">
        <v>0</v>
      </c>
      <c r="M654" s="120" t="s">
        <v>244</v>
      </c>
      <c r="N654" s="121" t="s">
        <v>244</v>
      </c>
      <c r="O654" s="122" t="s">
        <v>244</v>
      </c>
      <c r="P654" s="123" t="s">
        <v>244</v>
      </c>
      <c r="Q654" s="124"/>
      <c r="R654" s="135"/>
      <c r="S654" s="136"/>
      <c r="T654" s="137"/>
      <c r="U654" s="138" t="s">
        <v>244</v>
      </c>
      <c r="V654" s="138" t="s">
        <v>244</v>
      </c>
      <c r="W654" s="139" t="s">
        <v>244</v>
      </c>
      <c r="X654" s="139" t="s">
        <v>244</v>
      </c>
      <c r="Y654" s="54">
        <v>0</v>
      </c>
    </row>
    <row r="655" spans="2:25" s="49" customFormat="1" ht="15.75" x14ac:dyDescent="0.25">
      <c r="B655" s="133"/>
      <c r="C655" s="134"/>
      <c r="D655" s="113"/>
      <c r="E655" s="114"/>
      <c r="F655" s="173"/>
      <c r="G655" s="116" t="s">
        <v>244</v>
      </c>
      <c r="H655" s="116" t="s">
        <v>244</v>
      </c>
      <c r="I655" s="113"/>
      <c r="J655" s="117" t="s">
        <v>244</v>
      </c>
      <c r="K655" s="118"/>
      <c r="L655" s="119">
        <v>0</v>
      </c>
      <c r="M655" s="120" t="s">
        <v>244</v>
      </c>
      <c r="N655" s="121" t="s">
        <v>244</v>
      </c>
      <c r="O655" s="122" t="s">
        <v>244</v>
      </c>
      <c r="P655" s="123" t="s">
        <v>244</v>
      </c>
      <c r="Q655" s="124"/>
      <c r="R655" s="135"/>
      <c r="S655" s="136"/>
      <c r="T655" s="137"/>
      <c r="U655" s="138" t="s">
        <v>244</v>
      </c>
      <c r="V655" s="138" t="s">
        <v>244</v>
      </c>
      <c r="W655" s="139" t="s">
        <v>244</v>
      </c>
      <c r="X655" s="139" t="s">
        <v>244</v>
      </c>
      <c r="Y655" s="54">
        <v>0</v>
      </c>
    </row>
    <row r="656" spans="2:25" s="49" customFormat="1" ht="15.75" x14ac:dyDescent="0.25">
      <c r="B656" s="133"/>
      <c r="C656" s="134"/>
      <c r="D656" s="113"/>
      <c r="E656" s="114"/>
      <c r="F656" s="173"/>
      <c r="G656" s="116" t="s">
        <v>244</v>
      </c>
      <c r="H656" s="116" t="s">
        <v>244</v>
      </c>
      <c r="I656" s="113"/>
      <c r="J656" s="117" t="s">
        <v>244</v>
      </c>
      <c r="K656" s="118"/>
      <c r="L656" s="119">
        <v>0</v>
      </c>
      <c r="M656" s="120" t="s">
        <v>244</v>
      </c>
      <c r="N656" s="121" t="s">
        <v>244</v>
      </c>
      <c r="O656" s="122" t="s">
        <v>244</v>
      </c>
      <c r="P656" s="123" t="s">
        <v>244</v>
      </c>
      <c r="Q656" s="124"/>
      <c r="R656" s="135"/>
      <c r="S656" s="136"/>
      <c r="T656" s="137"/>
      <c r="U656" s="138" t="s">
        <v>244</v>
      </c>
      <c r="V656" s="138" t="s">
        <v>244</v>
      </c>
      <c r="W656" s="139" t="s">
        <v>244</v>
      </c>
      <c r="X656" s="139" t="s">
        <v>244</v>
      </c>
      <c r="Y656" s="54">
        <v>0</v>
      </c>
    </row>
    <row r="657" spans="2:25" s="49" customFormat="1" ht="15.75" x14ac:dyDescent="0.25">
      <c r="B657" s="133"/>
      <c r="C657" s="134"/>
      <c r="D657" s="113"/>
      <c r="E657" s="114"/>
      <c r="F657" s="173"/>
      <c r="G657" s="116" t="s">
        <v>244</v>
      </c>
      <c r="H657" s="116" t="s">
        <v>244</v>
      </c>
      <c r="I657" s="113"/>
      <c r="J657" s="117" t="s">
        <v>244</v>
      </c>
      <c r="K657" s="118"/>
      <c r="L657" s="119">
        <v>0</v>
      </c>
      <c r="M657" s="120" t="s">
        <v>244</v>
      </c>
      <c r="N657" s="121" t="s">
        <v>244</v>
      </c>
      <c r="O657" s="122" t="s">
        <v>244</v>
      </c>
      <c r="P657" s="123" t="s">
        <v>244</v>
      </c>
      <c r="Q657" s="124"/>
      <c r="R657" s="135"/>
      <c r="S657" s="136"/>
      <c r="T657" s="137"/>
      <c r="U657" s="138" t="s">
        <v>244</v>
      </c>
      <c r="V657" s="138" t="s">
        <v>244</v>
      </c>
      <c r="W657" s="139" t="s">
        <v>244</v>
      </c>
      <c r="X657" s="139" t="s">
        <v>244</v>
      </c>
      <c r="Y657" s="54">
        <v>0</v>
      </c>
    </row>
    <row r="658" spans="2:25" s="49" customFormat="1" ht="15.75" x14ac:dyDescent="0.25">
      <c r="B658" s="133"/>
      <c r="C658" s="134"/>
      <c r="D658" s="113"/>
      <c r="E658" s="114"/>
      <c r="F658" s="173"/>
      <c r="G658" s="116" t="s">
        <v>244</v>
      </c>
      <c r="H658" s="116" t="s">
        <v>244</v>
      </c>
      <c r="I658" s="113"/>
      <c r="J658" s="117" t="s">
        <v>244</v>
      </c>
      <c r="K658" s="118"/>
      <c r="L658" s="119">
        <v>0</v>
      </c>
      <c r="M658" s="120" t="s">
        <v>244</v>
      </c>
      <c r="N658" s="121" t="s">
        <v>244</v>
      </c>
      <c r="O658" s="122" t="s">
        <v>244</v>
      </c>
      <c r="P658" s="123" t="s">
        <v>244</v>
      </c>
      <c r="Q658" s="124"/>
      <c r="R658" s="135"/>
      <c r="S658" s="136"/>
      <c r="T658" s="137"/>
      <c r="U658" s="138" t="s">
        <v>244</v>
      </c>
      <c r="V658" s="138" t="s">
        <v>244</v>
      </c>
      <c r="W658" s="139" t="s">
        <v>244</v>
      </c>
      <c r="X658" s="139" t="s">
        <v>244</v>
      </c>
      <c r="Y658" s="54">
        <v>0</v>
      </c>
    </row>
    <row r="659" spans="2:25" s="49" customFormat="1" ht="15.75" x14ac:dyDescent="0.25">
      <c r="B659" s="133"/>
      <c r="C659" s="134"/>
      <c r="D659" s="113"/>
      <c r="E659" s="114"/>
      <c r="F659" s="173"/>
      <c r="G659" s="116" t="s">
        <v>244</v>
      </c>
      <c r="H659" s="116" t="s">
        <v>244</v>
      </c>
      <c r="I659" s="113"/>
      <c r="J659" s="117" t="s">
        <v>244</v>
      </c>
      <c r="K659" s="118"/>
      <c r="L659" s="119">
        <v>0</v>
      </c>
      <c r="M659" s="120" t="s">
        <v>244</v>
      </c>
      <c r="N659" s="121" t="s">
        <v>244</v>
      </c>
      <c r="O659" s="122" t="s">
        <v>244</v>
      </c>
      <c r="P659" s="123" t="s">
        <v>244</v>
      </c>
      <c r="Q659" s="124"/>
      <c r="R659" s="135"/>
      <c r="S659" s="136"/>
      <c r="T659" s="137"/>
      <c r="U659" s="138" t="s">
        <v>244</v>
      </c>
      <c r="V659" s="138" t="s">
        <v>244</v>
      </c>
      <c r="W659" s="139" t="s">
        <v>244</v>
      </c>
      <c r="X659" s="139" t="s">
        <v>244</v>
      </c>
      <c r="Y659" s="54">
        <v>0</v>
      </c>
    </row>
    <row r="660" spans="2:25" s="49" customFormat="1" ht="15.75" x14ac:dyDescent="0.25">
      <c r="B660" s="133"/>
      <c r="C660" s="134"/>
      <c r="D660" s="113"/>
      <c r="E660" s="114"/>
      <c r="F660" s="173"/>
      <c r="G660" s="116" t="s">
        <v>244</v>
      </c>
      <c r="H660" s="116" t="s">
        <v>244</v>
      </c>
      <c r="I660" s="113"/>
      <c r="J660" s="117" t="s">
        <v>244</v>
      </c>
      <c r="K660" s="118"/>
      <c r="L660" s="119">
        <v>0</v>
      </c>
      <c r="M660" s="120" t="s">
        <v>244</v>
      </c>
      <c r="N660" s="121" t="s">
        <v>244</v>
      </c>
      <c r="O660" s="122" t="s">
        <v>244</v>
      </c>
      <c r="P660" s="123" t="s">
        <v>244</v>
      </c>
      <c r="Q660" s="124"/>
      <c r="R660" s="135"/>
      <c r="S660" s="136"/>
      <c r="T660" s="137"/>
      <c r="U660" s="138" t="s">
        <v>244</v>
      </c>
      <c r="V660" s="138" t="s">
        <v>244</v>
      </c>
      <c r="W660" s="139" t="s">
        <v>244</v>
      </c>
      <c r="X660" s="139" t="s">
        <v>244</v>
      </c>
      <c r="Y660" s="54">
        <v>0</v>
      </c>
    </row>
    <row r="661" spans="2:25" s="49" customFormat="1" ht="15.75" x14ac:dyDescent="0.25">
      <c r="B661" s="133"/>
      <c r="C661" s="134"/>
      <c r="D661" s="113"/>
      <c r="E661" s="114"/>
      <c r="F661" s="173"/>
      <c r="G661" s="116" t="s">
        <v>244</v>
      </c>
      <c r="H661" s="116" t="s">
        <v>244</v>
      </c>
      <c r="I661" s="113"/>
      <c r="J661" s="117" t="s">
        <v>244</v>
      </c>
      <c r="K661" s="118"/>
      <c r="L661" s="119">
        <v>0</v>
      </c>
      <c r="M661" s="120" t="s">
        <v>244</v>
      </c>
      <c r="N661" s="121" t="s">
        <v>244</v>
      </c>
      <c r="O661" s="122" t="s">
        <v>244</v>
      </c>
      <c r="P661" s="123" t="s">
        <v>244</v>
      </c>
      <c r="Q661" s="124"/>
      <c r="R661" s="135"/>
      <c r="S661" s="136"/>
      <c r="T661" s="137"/>
      <c r="U661" s="138" t="s">
        <v>244</v>
      </c>
      <c r="V661" s="138" t="s">
        <v>244</v>
      </c>
      <c r="W661" s="139" t="s">
        <v>244</v>
      </c>
      <c r="X661" s="139" t="s">
        <v>244</v>
      </c>
      <c r="Y661" s="54">
        <v>0</v>
      </c>
    </row>
    <row r="662" spans="2:25" s="49" customFormat="1" ht="15.75" x14ac:dyDescent="0.25">
      <c r="B662" s="133"/>
      <c r="C662" s="134"/>
      <c r="D662" s="113"/>
      <c r="E662" s="114"/>
      <c r="F662" s="173"/>
      <c r="G662" s="116" t="s">
        <v>244</v>
      </c>
      <c r="H662" s="116" t="s">
        <v>244</v>
      </c>
      <c r="I662" s="113"/>
      <c r="J662" s="117" t="s">
        <v>244</v>
      </c>
      <c r="K662" s="118"/>
      <c r="L662" s="119">
        <v>0</v>
      </c>
      <c r="M662" s="120" t="s">
        <v>244</v>
      </c>
      <c r="N662" s="121" t="s">
        <v>244</v>
      </c>
      <c r="O662" s="122" t="s">
        <v>244</v>
      </c>
      <c r="P662" s="123" t="s">
        <v>244</v>
      </c>
      <c r="Q662" s="124"/>
      <c r="R662" s="135"/>
      <c r="S662" s="136"/>
      <c r="T662" s="137"/>
      <c r="U662" s="138" t="s">
        <v>244</v>
      </c>
      <c r="V662" s="138" t="s">
        <v>244</v>
      </c>
      <c r="W662" s="139" t="s">
        <v>244</v>
      </c>
      <c r="X662" s="139" t="s">
        <v>244</v>
      </c>
      <c r="Y662" s="54">
        <v>0</v>
      </c>
    </row>
    <row r="663" spans="2:25" s="49" customFormat="1" ht="15.75" x14ac:dyDescent="0.25">
      <c r="B663" s="133"/>
      <c r="C663" s="134"/>
      <c r="D663" s="113"/>
      <c r="E663" s="114"/>
      <c r="F663" s="173"/>
      <c r="G663" s="116" t="s">
        <v>244</v>
      </c>
      <c r="H663" s="116" t="s">
        <v>244</v>
      </c>
      <c r="I663" s="113"/>
      <c r="J663" s="117" t="s">
        <v>244</v>
      </c>
      <c r="K663" s="118"/>
      <c r="L663" s="119">
        <v>0</v>
      </c>
      <c r="M663" s="120" t="s">
        <v>244</v>
      </c>
      <c r="N663" s="121" t="s">
        <v>244</v>
      </c>
      <c r="O663" s="122" t="s">
        <v>244</v>
      </c>
      <c r="P663" s="123" t="s">
        <v>244</v>
      </c>
      <c r="Q663" s="124"/>
      <c r="R663" s="135"/>
      <c r="S663" s="136"/>
      <c r="T663" s="137"/>
      <c r="U663" s="138" t="s">
        <v>244</v>
      </c>
      <c r="V663" s="138" t="s">
        <v>244</v>
      </c>
      <c r="W663" s="139" t="s">
        <v>244</v>
      </c>
      <c r="X663" s="139" t="s">
        <v>244</v>
      </c>
      <c r="Y663" s="54">
        <v>0</v>
      </c>
    </row>
    <row r="664" spans="2:25" s="49" customFormat="1" ht="15.75" x14ac:dyDescent="0.25">
      <c r="B664" s="133"/>
      <c r="C664" s="134"/>
      <c r="D664" s="113"/>
      <c r="E664" s="114"/>
      <c r="F664" s="173"/>
      <c r="G664" s="116" t="s">
        <v>244</v>
      </c>
      <c r="H664" s="116" t="s">
        <v>244</v>
      </c>
      <c r="I664" s="113"/>
      <c r="J664" s="117" t="s">
        <v>244</v>
      </c>
      <c r="K664" s="118"/>
      <c r="L664" s="119">
        <v>0</v>
      </c>
      <c r="M664" s="120" t="s">
        <v>244</v>
      </c>
      <c r="N664" s="121" t="s">
        <v>244</v>
      </c>
      <c r="O664" s="122" t="s">
        <v>244</v>
      </c>
      <c r="P664" s="123" t="s">
        <v>244</v>
      </c>
      <c r="Q664" s="124"/>
      <c r="R664" s="135"/>
      <c r="S664" s="136"/>
      <c r="T664" s="137"/>
      <c r="U664" s="138" t="s">
        <v>244</v>
      </c>
      <c r="V664" s="138" t="s">
        <v>244</v>
      </c>
      <c r="W664" s="139" t="s">
        <v>244</v>
      </c>
      <c r="X664" s="139" t="s">
        <v>244</v>
      </c>
      <c r="Y664" s="54">
        <v>0</v>
      </c>
    </row>
    <row r="665" spans="2:25" s="49" customFormat="1" ht="15.75" x14ac:dyDescent="0.25">
      <c r="B665" s="133"/>
      <c r="C665" s="134"/>
      <c r="D665" s="113"/>
      <c r="E665" s="114"/>
      <c r="F665" s="173"/>
      <c r="G665" s="116" t="s">
        <v>244</v>
      </c>
      <c r="H665" s="116" t="s">
        <v>244</v>
      </c>
      <c r="I665" s="113"/>
      <c r="J665" s="117" t="s">
        <v>244</v>
      </c>
      <c r="K665" s="118"/>
      <c r="L665" s="119">
        <v>0</v>
      </c>
      <c r="M665" s="120" t="s">
        <v>244</v>
      </c>
      <c r="N665" s="121" t="s">
        <v>244</v>
      </c>
      <c r="O665" s="122" t="s">
        <v>244</v>
      </c>
      <c r="P665" s="123" t="s">
        <v>244</v>
      </c>
      <c r="Q665" s="124"/>
      <c r="R665" s="135"/>
      <c r="S665" s="136"/>
      <c r="T665" s="137"/>
      <c r="U665" s="138" t="s">
        <v>244</v>
      </c>
      <c r="V665" s="138" t="s">
        <v>244</v>
      </c>
      <c r="W665" s="139" t="s">
        <v>244</v>
      </c>
      <c r="X665" s="139" t="s">
        <v>244</v>
      </c>
      <c r="Y665" s="54">
        <v>0</v>
      </c>
    </row>
    <row r="666" spans="2:25" s="49" customFormat="1" ht="15.75" x14ac:dyDescent="0.25">
      <c r="B666" s="133"/>
      <c r="C666" s="134"/>
      <c r="D666" s="113"/>
      <c r="E666" s="114"/>
      <c r="F666" s="173"/>
      <c r="G666" s="116" t="s">
        <v>244</v>
      </c>
      <c r="H666" s="116" t="s">
        <v>244</v>
      </c>
      <c r="I666" s="113"/>
      <c r="J666" s="117" t="s">
        <v>244</v>
      </c>
      <c r="K666" s="118"/>
      <c r="L666" s="119">
        <v>0</v>
      </c>
      <c r="M666" s="120" t="s">
        <v>244</v>
      </c>
      <c r="N666" s="121" t="s">
        <v>244</v>
      </c>
      <c r="O666" s="122" t="s">
        <v>244</v>
      </c>
      <c r="P666" s="123" t="s">
        <v>244</v>
      </c>
      <c r="Q666" s="124"/>
      <c r="R666" s="135"/>
      <c r="S666" s="136"/>
      <c r="T666" s="137"/>
      <c r="U666" s="138" t="s">
        <v>244</v>
      </c>
      <c r="V666" s="138" t="s">
        <v>244</v>
      </c>
      <c r="W666" s="139" t="s">
        <v>244</v>
      </c>
      <c r="X666" s="139" t="s">
        <v>244</v>
      </c>
      <c r="Y666" s="54">
        <v>0</v>
      </c>
    </row>
    <row r="667" spans="2:25" s="49" customFormat="1" ht="15.75" x14ac:dyDescent="0.25">
      <c r="B667" s="133"/>
      <c r="C667" s="134"/>
      <c r="D667" s="113"/>
      <c r="E667" s="114"/>
      <c r="F667" s="173"/>
      <c r="G667" s="116" t="s">
        <v>244</v>
      </c>
      <c r="H667" s="116" t="s">
        <v>244</v>
      </c>
      <c r="I667" s="113"/>
      <c r="J667" s="117" t="s">
        <v>244</v>
      </c>
      <c r="K667" s="118"/>
      <c r="L667" s="119">
        <v>0</v>
      </c>
      <c r="M667" s="120" t="s">
        <v>244</v>
      </c>
      <c r="N667" s="121" t="s">
        <v>244</v>
      </c>
      <c r="O667" s="122" t="s">
        <v>244</v>
      </c>
      <c r="P667" s="123" t="s">
        <v>244</v>
      </c>
      <c r="Q667" s="124"/>
      <c r="R667" s="135"/>
      <c r="S667" s="136"/>
      <c r="T667" s="137"/>
      <c r="U667" s="138" t="s">
        <v>244</v>
      </c>
      <c r="V667" s="138" t="s">
        <v>244</v>
      </c>
      <c r="W667" s="139" t="s">
        <v>244</v>
      </c>
      <c r="X667" s="139" t="s">
        <v>244</v>
      </c>
      <c r="Y667" s="54">
        <v>0</v>
      </c>
    </row>
    <row r="668" spans="2:25" s="49" customFormat="1" ht="15.75" x14ac:dyDescent="0.25">
      <c r="B668" s="133"/>
      <c r="C668" s="134"/>
      <c r="D668" s="113"/>
      <c r="E668" s="114"/>
      <c r="F668" s="173"/>
      <c r="G668" s="116" t="s">
        <v>244</v>
      </c>
      <c r="H668" s="116" t="s">
        <v>244</v>
      </c>
      <c r="I668" s="113"/>
      <c r="J668" s="117" t="s">
        <v>244</v>
      </c>
      <c r="K668" s="118"/>
      <c r="L668" s="119">
        <v>0</v>
      </c>
      <c r="M668" s="120" t="s">
        <v>244</v>
      </c>
      <c r="N668" s="121" t="s">
        <v>244</v>
      </c>
      <c r="O668" s="122" t="s">
        <v>244</v>
      </c>
      <c r="P668" s="123" t="s">
        <v>244</v>
      </c>
      <c r="Q668" s="124"/>
      <c r="R668" s="135"/>
      <c r="S668" s="136"/>
      <c r="T668" s="137"/>
      <c r="U668" s="138" t="s">
        <v>244</v>
      </c>
      <c r="V668" s="138" t="s">
        <v>244</v>
      </c>
      <c r="W668" s="139" t="s">
        <v>244</v>
      </c>
      <c r="X668" s="139" t="s">
        <v>244</v>
      </c>
      <c r="Y668" s="54">
        <v>0</v>
      </c>
    </row>
    <row r="669" spans="2:25" s="49" customFormat="1" ht="15.75" x14ac:dyDescent="0.25">
      <c r="B669" s="133"/>
      <c r="C669" s="134"/>
      <c r="D669" s="113"/>
      <c r="E669" s="114"/>
      <c r="F669" s="173"/>
      <c r="G669" s="116" t="s">
        <v>244</v>
      </c>
      <c r="H669" s="116" t="s">
        <v>244</v>
      </c>
      <c r="I669" s="113"/>
      <c r="J669" s="117" t="s">
        <v>244</v>
      </c>
      <c r="K669" s="118"/>
      <c r="L669" s="119">
        <v>0</v>
      </c>
      <c r="M669" s="120" t="s">
        <v>244</v>
      </c>
      <c r="N669" s="121" t="s">
        <v>244</v>
      </c>
      <c r="O669" s="122" t="s">
        <v>244</v>
      </c>
      <c r="P669" s="123" t="s">
        <v>244</v>
      </c>
      <c r="Q669" s="124"/>
      <c r="R669" s="135"/>
      <c r="S669" s="136"/>
      <c r="T669" s="137"/>
      <c r="U669" s="138" t="s">
        <v>244</v>
      </c>
      <c r="V669" s="138" t="s">
        <v>244</v>
      </c>
      <c r="W669" s="139" t="s">
        <v>244</v>
      </c>
      <c r="X669" s="139" t="s">
        <v>244</v>
      </c>
      <c r="Y669" s="54">
        <v>0</v>
      </c>
    </row>
    <row r="670" spans="2:25" s="49" customFormat="1" ht="15.75" x14ac:dyDescent="0.25">
      <c r="B670" s="133"/>
      <c r="C670" s="134"/>
      <c r="D670" s="113"/>
      <c r="E670" s="114"/>
      <c r="F670" s="173"/>
      <c r="G670" s="116" t="s">
        <v>244</v>
      </c>
      <c r="H670" s="116" t="s">
        <v>244</v>
      </c>
      <c r="I670" s="113"/>
      <c r="J670" s="117" t="s">
        <v>244</v>
      </c>
      <c r="K670" s="118"/>
      <c r="L670" s="119">
        <v>0</v>
      </c>
      <c r="M670" s="120" t="s">
        <v>244</v>
      </c>
      <c r="N670" s="121" t="s">
        <v>244</v>
      </c>
      <c r="O670" s="122" t="s">
        <v>244</v>
      </c>
      <c r="P670" s="123" t="s">
        <v>244</v>
      </c>
      <c r="Q670" s="124"/>
      <c r="R670" s="135"/>
      <c r="S670" s="136"/>
      <c r="T670" s="137"/>
      <c r="U670" s="138" t="s">
        <v>244</v>
      </c>
      <c r="V670" s="138" t="s">
        <v>244</v>
      </c>
      <c r="W670" s="139" t="s">
        <v>244</v>
      </c>
      <c r="X670" s="139" t="s">
        <v>244</v>
      </c>
      <c r="Y670" s="54">
        <v>0</v>
      </c>
    </row>
    <row r="671" spans="2:25" s="49" customFormat="1" ht="15.75" x14ac:dyDescent="0.25">
      <c r="B671" s="133"/>
      <c r="C671" s="134"/>
      <c r="D671" s="113"/>
      <c r="E671" s="114"/>
      <c r="F671" s="173"/>
      <c r="G671" s="116" t="s">
        <v>244</v>
      </c>
      <c r="H671" s="116" t="s">
        <v>244</v>
      </c>
      <c r="I671" s="113"/>
      <c r="J671" s="117" t="s">
        <v>244</v>
      </c>
      <c r="K671" s="118"/>
      <c r="L671" s="119">
        <v>0</v>
      </c>
      <c r="M671" s="120" t="s">
        <v>244</v>
      </c>
      <c r="N671" s="121" t="s">
        <v>244</v>
      </c>
      <c r="O671" s="122" t="s">
        <v>244</v>
      </c>
      <c r="P671" s="123" t="s">
        <v>244</v>
      </c>
      <c r="Q671" s="124"/>
      <c r="R671" s="135"/>
      <c r="S671" s="136"/>
      <c r="T671" s="137"/>
      <c r="U671" s="138" t="s">
        <v>244</v>
      </c>
      <c r="V671" s="138" t="s">
        <v>244</v>
      </c>
      <c r="W671" s="139" t="s">
        <v>244</v>
      </c>
      <c r="X671" s="139" t="s">
        <v>244</v>
      </c>
      <c r="Y671" s="54">
        <v>0</v>
      </c>
    </row>
    <row r="672" spans="2:25" s="49" customFormat="1" ht="15.75" x14ac:dyDescent="0.25">
      <c r="B672" s="133"/>
      <c r="C672" s="134"/>
      <c r="D672" s="113"/>
      <c r="E672" s="114"/>
      <c r="F672" s="173"/>
      <c r="G672" s="116" t="s">
        <v>244</v>
      </c>
      <c r="H672" s="116" t="s">
        <v>244</v>
      </c>
      <c r="I672" s="113"/>
      <c r="J672" s="117" t="s">
        <v>244</v>
      </c>
      <c r="K672" s="118"/>
      <c r="L672" s="119">
        <v>0</v>
      </c>
      <c r="M672" s="120" t="s">
        <v>244</v>
      </c>
      <c r="N672" s="121" t="s">
        <v>244</v>
      </c>
      <c r="O672" s="122" t="s">
        <v>244</v>
      </c>
      <c r="P672" s="123" t="s">
        <v>244</v>
      </c>
      <c r="Q672" s="124"/>
      <c r="R672" s="135"/>
      <c r="S672" s="136"/>
      <c r="T672" s="137"/>
      <c r="U672" s="138" t="s">
        <v>244</v>
      </c>
      <c r="V672" s="138" t="s">
        <v>244</v>
      </c>
      <c r="W672" s="139" t="s">
        <v>244</v>
      </c>
      <c r="X672" s="139" t="s">
        <v>244</v>
      </c>
      <c r="Y672" s="54">
        <v>0</v>
      </c>
    </row>
    <row r="673" spans="2:25" s="49" customFormat="1" ht="15.75" x14ac:dyDescent="0.25">
      <c r="B673" s="133"/>
      <c r="C673" s="134"/>
      <c r="D673" s="113"/>
      <c r="E673" s="114"/>
      <c r="F673" s="173"/>
      <c r="G673" s="116" t="s">
        <v>244</v>
      </c>
      <c r="H673" s="116" t="s">
        <v>244</v>
      </c>
      <c r="I673" s="113"/>
      <c r="J673" s="117" t="s">
        <v>244</v>
      </c>
      <c r="K673" s="118"/>
      <c r="L673" s="119">
        <v>0</v>
      </c>
      <c r="M673" s="120" t="s">
        <v>244</v>
      </c>
      <c r="N673" s="121" t="s">
        <v>244</v>
      </c>
      <c r="O673" s="122" t="s">
        <v>244</v>
      </c>
      <c r="P673" s="123" t="s">
        <v>244</v>
      </c>
      <c r="Q673" s="124"/>
      <c r="R673" s="135"/>
      <c r="S673" s="136"/>
      <c r="T673" s="137"/>
      <c r="U673" s="138" t="s">
        <v>244</v>
      </c>
      <c r="V673" s="138" t="s">
        <v>244</v>
      </c>
      <c r="W673" s="139" t="s">
        <v>244</v>
      </c>
      <c r="X673" s="139" t="s">
        <v>244</v>
      </c>
      <c r="Y673" s="54">
        <v>0</v>
      </c>
    </row>
    <row r="674" spans="2:25" s="49" customFormat="1" ht="15.75" x14ac:dyDescent="0.25">
      <c r="B674" s="133"/>
      <c r="C674" s="134"/>
      <c r="D674" s="113"/>
      <c r="E674" s="114"/>
      <c r="F674" s="173"/>
      <c r="G674" s="116" t="s">
        <v>244</v>
      </c>
      <c r="H674" s="116" t="s">
        <v>244</v>
      </c>
      <c r="I674" s="113"/>
      <c r="J674" s="117" t="s">
        <v>244</v>
      </c>
      <c r="K674" s="118"/>
      <c r="L674" s="119">
        <v>0</v>
      </c>
      <c r="M674" s="120" t="s">
        <v>244</v>
      </c>
      <c r="N674" s="121" t="s">
        <v>244</v>
      </c>
      <c r="O674" s="122" t="s">
        <v>244</v>
      </c>
      <c r="P674" s="123" t="s">
        <v>244</v>
      </c>
      <c r="Q674" s="124"/>
      <c r="R674" s="135"/>
      <c r="S674" s="136"/>
      <c r="T674" s="137"/>
      <c r="U674" s="138" t="s">
        <v>244</v>
      </c>
      <c r="V674" s="138" t="s">
        <v>244</v>
      </c>
      <c r="W674" s="139" t="s">
        <v>244</v>
      </c>
      <c r="X674" s="139" t="s">
        <v>244</v>
      </c>
      <c r="Y674" s="54">
        <v>0</v>
      </c>
    </row>
    <row r="675" spans="2:25" s="49" customFormat="1" ht="15.75" x14ac:dyDescent="0.25">
      <c r="B675" s="133"/>
      <c r="C675" s="134"/>
      <c r="D675" s="113"/>
      <c r="E675" s="114"/>
      <c r="F675" s="173"/>
      <c r="G675" s="116" t="s">
        <v>244</v>
      </c>
      <c r="H675" s="116" t="s">
        <v>244</v>
      </c>
      <c r="I675" s="113"/>
      <c r="J675" s="117" t="s">
        <v>244</v>
      </c>
      <c r="K675" s="118"/>
      <c r="L675" s="119">
        <v>0</v>
      </c>
      <c r="M675" s="120" t="s">
        <v>244</v>
      </c>
      <c r="N675" s="121" t="s">
        <v>244</v>
      </c>
      <c r="O675" s="122" t="s">
        <v>244</v>
      </c>
      <c r="P675" s="123" t="s">
        <v>244</v>
      </c>
      <c r="Q675" s="124"/>
      <c r="R675" s="135"/>
      <c r="S675" s="136"/>
      <c r="T675" s="137"/>
      <c r="U675" s="138" t="s">
        <v>244</v>
      </c>
      <c r="V675" s="138" t="s">
        <v>244</v>
      </c>
      <c r="W675" s="139" t="s">
        <v>244</v>
      </c>
      <c r="X675" s="139" t="s">
        <v>244</v>
      </c>
      <c r="Y675" s="54">
        <v>0</v>
      </c>
    </row>
    <row r="676" spans="2:25" s="49" customFormat="1" ht="15.75" x14ac:dyDescent="0.25">
      <c r="B676" s="133"/>
      <c r="C676" s="134"/>
      <c r="D676" s="113"/>
      <c r="E676" s="114"/>
      <c r="F676" s="173"/>
      <c r="G676" s="116" t="s">
        <v>244</v>
      </c>
      <c r="H676" s="116" t="s">
        <v>244</v>
      </c>
      <c r="I676" s="113"/>
      <c r="J676" s="117" t="s">
        <v>244</v>
      </c>
      <c r="K676" s="118"/>
      <c r="L676" s="119">
        <v>0</v>
      </c>
      <c r="M676" s="120" t="s">
        <v>244</v>
      </c>
      <c r="N676" s="121" t="s">
        <v>244</v>
      </c>
      <c r="O676" s="122" t="s">
        <v>244</v>
      </c>
      <c r="P676" s="123" t="s">
        <v>244</v>
      </c>
      <c r="Q676" s="124"/>
      <c r="R676" s="135"/>
      <c r="S676" s="136"/>
      <c r="T676" s="137"/>
      <c r="U676" s="138" t="s">
        <v>244</v>
      </c>
      <c r="V676" s="138" t="s">
        <v>244</v>
      </c>
      <c r="W676" s="139" t="s">
        <v>244</v>
      </c>
      <c r="X676" s="139" t="s">
        <v>244</v>
      </c>
      <c r="Y676" s="54">
        <v>0</v>
      </c>
    </row>
    <row r="677" spans="2:25" s="49" customFormat="1" ht="15.75" x14ac:dyDescent="0.25">
      <c r="B677" s="133"/>
      <c r="C677" s="134"/>
      <c r="D677" s="113"/>
      <c r="E677" s="114"/>
      <c r="F677" s="173"/>
      <c r="G677" s="116" t="s">
        <v>244</v>
      </c>
      <c r="H677" s="116" t="s">
        <v>244</v>
      </c>
      <c r="I677" s="113"/>
      <c r="J677" s="117" t="s">
        <v>244</v>
      </c>
      <c r="K677" s="118"/>
      <c r="L677" s="119">
        <v>0</v>
      </c>
      <c r="M677" s="120" t="s">
        <v>244</v>
      </c>
      <c r="N677" s="121" t="s">
        <v>244</v>
      </c>
      <c r="O677" s="122" t="s">
        <v>244</v>
      </c>
      <c r="P677" s="123" t="s">
        <v>244</v>
      </c>
      <c r="Q677" s="124"/>
      <c r="R677" s="135"/>
      <c r="S677" s="136"/>
      <c r="T677" s="137"/>
      <c r="U677" s="138" t="s">
        <v>244</v>
      </c>
      <c r="V677" s="138" t="s">
        <v>244</v>
      </c>
      <c r="W677" s="139" t="s">
        <v>244</v>
      </c>
      <c r="X677" s="139" t="s">
        <v>244</v>
      </c>
      <c r="Y677" s="54">
        <v>0</v>
      </c>
    </row>
    <row r="678" spans="2:25" s="49" customFormat="1" ht="15.75" x14ac:dyDescent="0.25">
      <c r="B678" s="133"/>
      <c r="C678" s="134"/>
      <c r="D678" s="113"/>
      <c r="E678" s="114"/>
      <c r="F678" s="173"/>
      <c r="G678" s="116" t="s">
        <v>244</v>
      </c>
      <c r="H678" s="116" t="s">
        <v>244</v>
      </c>
      <c r="I678" s="113"/>
      <c r="J678" s="117" t="s">
        <v>244</v>
      </c>
      <c r="K678" s="118"/>
      <c r="L678" s="119">
        <v>0</v>
      </c>
      <c r="M678" s="120" t="s">
        <v>244</v>
      </c>
      <c r="N678" s="121" t="s">
        <v>244</v>
      </c>
      <c r="O678" s="122" t="s">
        <v>244</v>
      </c>
      <c r="P678" s="123" t="s">
        <v>244</v>
      </c>
      <c r="Q678" s="124"/>
      <c r="R678" s="135"/>
      <c r="S678" s="136"/>
      <c r="T678" s="137"/>
      <c r="U678" s="138" t="s">
        <v>244</v>
      </c>
      <c r="V678" s="138" t="s">
        <v>244</v>
      </c>
      <c r="W678" s="139" t="s">
        <v>244</v>
      </c>
      <c r="X678" s="139" t="s">
        <v>244</v>
      </c>
      <c r="Y678" s="54">
        <v>0</v>
      </c>
    </row>
    <row r="679" spans="2:25" s="49" customFormat="1" ht="15.75" x14ac:dyDescent="0.25">
      <c r="B679" s="133"/>
      <c r="C679" s="134"/>
      <c r="D679" s="113"/>
      <c r="E679" s="114"/>
      <c r="F679" s="173"/>
      <c r="G679" s="116" t="s">
        <v>244</v>
      </c>
      <c r="H679" s="116" t="s">
        <v>244</v>
      </c>
      <c r="I679" s="113"/>
      <c r="J679" s="117" t="s">
        <v>244</v>
      </c>
      <c r="K679" s="118"/>
      <c r="L679" s="119">
        <v>0</v>
      </c>
      <c r="M679" s="120" t="s">
        <v>244</v>
      </c>
      <c r="N679" s="121" t="s">
        <v>244</v>
      </c>
      <c r="O679" s="122" t="s">
        <v>244</v>
      </c>
      <c r="P679" s="123" t="s">
        <v>244</v>
      </c>
      <c r="Q679" s="124"/>
      <c r="R679" s="135"/>
      <c r="S679" s="136"/>
      <c r="T679" s="137"/>
      <c r="U679" s="138" t="s">
        <v>244</v>
      </c>
      <c r="V679" s="138" t="s">
        <v>244</v>
      </c>
      <c r="W679" s="139" t="s">
        <v>244</v>
      </c>
      <c r="X679" s="139" t="s">
        <v>244</v>
      </c>
      <c r="Y679" s="54">
        <v>0</v>
      </c>
    </row>
    <row r="680" spans="2:25" s="49" customFormat="1" ht="15.75" x14ac:dyDescent="0.25">
      <c r="B680" s="133"/>
      <c r="C680" s="134"/>
      <c r="D680" s="113"/>
      <c r="E680" s="114"/>
      <c r="F680" s="173"/>
      <c r="G680" s="116" t="s">
        <v>244</v>
      </c>
      <c r="H680" s="116" t="s">
        <v>244</v>
      </c>
      <c r="I680" s="113"/>
      <c r="J680" s="117" t="s">
        <v>244</v>
      </c>
      <c r="K680" s="118"/>
      <c r="L680" s="119">
        <v>0</v>
      </c>
      <c r="M680" s="120" t="s">
        <v>244</v>
      </c>
      <c r="N680" s="121" t="s">
        <v>244</v>
      </c>
      <c r="O680" s="122" t="s">
        <v>244</v>
      </c>
      <c r="P680" s="123" t="s">
        <v>244</v>
      </c>
      <c r="Q680" s="124"/>
      <c r="R680" s="135"/>
      <c r="S680" s="136"/>
      <c r="T680" s="137"/>
      <c r="U680" s="138" t="s">
        <v>244</v>
      </c>
      <c r="V680" s="138" t="s">
        <v>244</v>
      </c>
      <c r="W680" s="139" t="s">
        <v>244</v>
      </c>
      <c r="X680" s="139" t="s">
        <v>244</v>
      </c>
      <c r="Y680" s="54">
        <v>0</v>
      </c>
    </row>
    <row r="681" spans="2:25" s="49" customFormat="1" ht="15.75" x14ac:dyDescent="0.25">
      <c r="B681" s="133"/>
      <c r="C681" s="134"/>
      <c r="D681" s="113"/>
      <c r="E681" s="114"/>
      <c r="F681" s="173"/>
      <c r="G681" s="116" t="s">
        <v>244</v>
      </c>
      <c r="H681" s="116" t="s">
        <v>244</v>
      </c>
      <c r="I681" s="113"/>
      <c r="J681" s="117" t="s">
        <v>244</v>
      </c>
      <c r="K681" s="118"/>
      <c r="L681" s="119">
        <v>0</v>
      </c>
      <c r="M681" s="120" t="s">
        <v>244</v>
      </c>
      <c r="N681" s="121" t="s">
        <v>244</v>
      </c>
      <c r="O681" s="122" t="s">
        <v>244</v>
      </c>
      <c r="P681" s="123" t="s">
        <v>244</v>
      </c>
      <c r="Q681" s="124"/>
      <c r="R681" s="135"/>
      <c r="S681" s="136"/>
      <c r="T681" s="137"/>
      <c r="U681" s="138" t="s">
        <v>244</v>
      </c>
      <c r="V681" s="138" t="s">
        <v>244</v>
      </c>
      <c r="W681" s="139" t="s">
        <v>244</v>
      </c>
      <c r="X681" s="139" t="s">
        <v>244</v>
      </c>
      <c r="Y681" s="54">
        <v>0</v>
      </c>
    </row>
    <row r="682" spans="2:25" s="49" customFormat="1" ht="15.75" x14ac:dyDescent="0.25">
      <c r="B682" s="133"/>
      <c r="C682" s="134"/>
      <c r="D682" s="113"/>
      <c r="E682" s="114"/>
      <c r="F682" s="173"/>
      <c r="G682" s="116" t="s">
        <v>244</v>
      </c>
      <c r="H682" s="116" t="s">
        <v>244</v>
      </c>
      <c r="I682" s="113"/>
      <c r="J682" s="117" t="s">
        <v>244</v>
      </c>
      <c r="K682" s="118"/>
      <c r="L682" s="119">
        <v>0</v>
      </c>
      <c r="M682" s="120" t="s">
        <v>244</v>
      </c>
      <c r="N682" s="121" t="s">
        <v>244</v>
      </c>
      <c r="O682" s="122" t="s">
        <v>244</v>
      </c>
      <c r="P682" s="123" t="s">
        <v>244</v>
      </c>
      <c r="Q682" s="124"/>
      <c r="R682" s="135"/>
      <c r="S682" s="136"/>
      <c r="T682" s="137"/>
      <c r="U682" s="138" t="s">
        <v>244</v>
      </c>
      <c r="V682" s="138" t="s">
        <v>244</v>
      </c>
      <c r="W682" s="139" t="s">
        <v>244</v>
      </c>
      <c r="X682" s="139" t="s">
        <v>244</v>
      </c>
      <c r="Y682" s="54">
        <v>0</v>
      </c>
    </row>
    <row r="683" spans="2:25" s="49" customFormat="1" ht="15.75" x14ac:dyDescent="0.25">
      <c r="B683" s="133"/>
      <c r="C683" s="134"/>
      <c r="D683" s="113"/>
      <c r="E683" s="114"/>
      <c r="F683" s="173"/>
      <c r="G683" s="116" t="s">
        <v>244</v>
      </c>
      <c r="H683" s="116" t="s">
        <v>244</v>
      </c>
      <c r="I683" s="113"/>
      <c r="J683" s="117" t="s">
        <v>244</v>
      </c>
      <c r="K683" s="118"/>
      <c r="L683" s="119">
        <v>0</v>
      </c>
      <c r="M683" s="120" t="s">
        <v>244</v>
      </c>
      <c r="N683" s="121" t="s">
        <v>244</v>
      </c>
      <c r="O683" s="122" t="s">
        <v>244</v>
      </c>
      <c r="P683" s="123" t="s">
        <v>244</v>
      </c>
      <c r="Q683" s="124"/>
      <c r="R683" s="135"/>
      <c r="S683" s="136"/>
      <c r="T683" s="137"/>
      <c r="U683" s="138" t="s">
        <v>244</v>
      </c>
      <c r="V683" s="138" t="s">
        <v>244</v>
      </c>
      <c r="W683" s="139" t="s">
        <v>244</v>
      </c>
      <c r="X683" s="139" t="s">
        <v>244</v>
      </c>
      <c r="Y683" s="54">
        <v>0</v>
      </c>
    </row>
    <row r="684" spans="2:25" s="49" customFormat="1" ht="15.75" x14ac:dyDescent="0.25">
      <c r="B684" s="133"/>
      <c r="C684" s="134"/>
      <c r="D684" s="113"/>
      <c r="E684" s="114"/>
      <c r="F684" s="173"/>
      <c r="G684" s="116" t="s">
        <v>244</v>
      </c>
      <c r="H684" s="116" t="s">
        <v>244</v>
      </c>
      <c r="I684" s="113"/>
      <c r="J684" s="117" t="s">
        <v>244</v>
      </c>
      <c r="K684" s="118"/>
      <c r="L684" s="119">
        <v>0</v>
      </c>
      <c r="M684" s="120" t="s">
        <v>244</v>
      </c>
      <c r="N684" s="121" t="s">
        <v>244</v>
      </c>
      <c r="O684" s="122" t="s">
        <v>244</v>
      </c>
      <c r="P684" s="123" t="s">
        <v>244</v>
      </c>
      <c r="Q684" s="124"/>
      <c r="R684" s="135"/>
      <c r="S684" s="136"/>
      <c r="T684" s="137"/>
      <c r="U684" s="138" t="s">
        <v>244</v>
      </c>
      <c r="V684" s="138" t="s">
        <v>244</v>
      </c>
      <c r="W684" s="139" t="s">
        <v>244</v>
      </c>
      <c r="X684" s="139" t="s">
        <v>244</v>
      </c>
      <c r="Y684" s="54">
        <v>0</v>
      </c>
    </row>
    <row r="685" spans="2:25" s="49" customFormat="1" ht="15.75" x14ac:dyDescent="0.25">
      <c r="B685" s="133"/>
      <c r="C685" s="134"/>
      <c r="D685" s="113"/>
      <c r="E685" s="114"/>
      <c r="F685" s="173"/>
      <c r="G685" s="116" t="s">
        <v>244</v>
      </c>
      <c r="H685" s="116" t="s">
        <v>244</v>
      </c>
      <c r="I685" s="113"/>
      <c r="J685" s="117" t="s">
        <v>244</v>
      </c>
      <c r="K685" s="118"/>
      <c r="L685" s="119">
        <v>0</v>
      </c>
      <c r="M685" s="120" t="s">
        <v>244</v>
      </c>
      <c r="N685" s="121" t="s">
        <v>244</v>
      </c>
      <c r="O685" s="122" t="s">
        <v>244</v>
      </c>
      <c r="P685" s="123" t="s">
        <v>244</v>
      </c>
      <c r="Q685" s="124"/>
      <c r="R685" s="135"/>
      <c r="S685" s="136"/>
      <c r="T685" s="137"/>
      <c r="U685" s="138" t="s">
        <v>244</v>
      </c>
      <c r="V685" s="138" t="s">
        <v>244</v>
      </c>
      <c r="W685" s="139" t="s">
        <v>244</v>
      </c>
      <c r="X685" s="139" t="s">
        <v>244</v>
      </c>
      <c r="Y685" s="54">
        <v>0</v>
      </c>
    </row>
    <row r="686" spans="2:25" s="49" customFormat="1" ht="15.75" x14ac:dyDescent="0.25">
      <c r="B686" s="133"/>
      <c r="C686" s="134"/>
      <c r="D686" s="113"/>
      <c r="E686" s="114"/>
      <c r="F686" s="173"/>
      <c r="G686" s="116" t="s">
        <v>244</v>
      </c>
      <c r="H686" s="116" t="s">
        <v>244</v>
      </c>
      <c r="I686" s="113"/>
      <c r="J686" s="117" t="s">
        <v>244</v>
      </c>
      <c r="K686" s="118"/>
      <c r="L686" s="119">
        <v>0</v>
      </c>
      <c r="M686" s="120" t="s">
        <v>244</v>
      </c>
      <c r="N686" s="121" t="s">
        <v>244</v>
      </c>
      <c r="O686" s="122" t="s">
        <v>244</v>
      </c>
      <c r="P686" s="123" t="s">
        <v>244</v>
      </c>
      <c r="Q686" s="124"/>
      <c r="R686" s="135"/>
      <c r="S686" s="136"/>
      <c r="T686" s="137"/>
      <c r="U686" s="138" t="s">
        <v>244</v>
      </c>
      <c r="V686" s="138" t="s">
        <v>244</v>
      </c>
      <c r="W686" s="139" t="s">
        <v>244</v>
      </c>
      <c r="X686" s="139" t="s">
        <v>244</v>
      </c>
      <c r="Y686" s="54">
        <v>0</v>
      </c>
    </row>
    <row r="687" spans="2:25" s="49" customFormat="1" ht="15.75" x14ac:dyDescent="0.25">
      <c r="B687" s="133"/>
      <c r="C687" s="134"/>
      <c r="D687" s="113"/>
      <c r="E687" s="114"/>
      <c r="F687" s="173"/>
      <c r="G687" s="116" t="s">
        <v>244</v>
      </c>
      <c r="H687" s="116" t="s">
        <v>244</v>
      </c>
      <c r="I687" s="113"/>
      <c r="J687" s="117" t="s">
        <v>244</v>
      </c>
      <c r="K687" s="118"/>
      <c r="L687" s="119">
        <v>0</v>
      </c>
      <c r="M687" s="120" t="s">
        <v>244</v>
      </c>
      <c r="N687" s="121" t="s">
        <v>244</v>
      </c>
      <c r="O687" s="122" t="s">
        <v>244</v>
      </c>
      <c r="P687" s="123" t="s">
        <v>244</v>
      </c>
      <c r="Q687" s="124"/>
      <c r="R687" s="135"/>
      <c r="S687" s="136"/>
      <c r="T687" s="137"/>
      <c r="U687" s="138" t="s">
        <v>244</v>
      </c>
      <c r="V687" s="138" t="s">
        <v>244</v>
      </c>
      <c r="W687" s="139" t="s">
        <v>244</v>
      </c>
      <c r="X687" s="139" t="s">
        <v>244</v>
      </c>
      <c r="Y687" s="54">
        <v>0</v>
      </c>
    </row>
    <row r="688" spans="2:25" s="49" customFormat="1" ht="15.75" x14ac:dyDescent="0.25">
      <c r="B688" s="133"/>
      <c r="C688" s="134"/>
      <c r="D688" s="113"/>
      <c r="E688" s="114"/>
      <c r="F688" s="173"/>
      <c r="G688" s="116" t="s">
        <v>244</v>
      </c>
      <c r="H688" s="116" t="s">
        <v>244</v>
      </c>
      <c r="I688" s="113"/>
      <c r="J688" s="117" t="s">
        <v>244</v>
      </c>
      <c r="K688" s="118"/>
      <c r="L688" s="119">
        <v>0</v>
      </c>
      <c r="M688" s="120" t="s">
        <v>244</v>
      </c>
      <c r="N688" s="121" t="s">
        <v>244</v>
      </c>
      <c r="O688" s="122" t="s">
        <v>244</v>
      </c>
      <c r="P688" s="123" t="s">
        <v>244</v>
      </c>
      <c r="Q688" s="124"/>
      <c r="R688" s="135"/>
      <c r="S688" s="136"/>
      <c r="T688" s="137"/>
      <c r="U688" s="138" t="s">
        <v>244</v>
      </c>
      <c r="V688" s="138" t="s">
        <v>244</v>
      </c>
      <c r="W688" s="139" t="s">
        <v>244</v>
      </c>
      <c r="X688" s="139" t="s">
        <v>244</v>
      </c>
      <c r="Y688" s="54">
        <v>0</v>
      </c>
    </row>
    <row r="689" spans="2:25" s="49" customFormat="1" ht="15.75" x14ac:dyDescent="0.25">
      <c r="B689" s="133"/>
      <c r="C689" s="134"/>
      <c r="D689" s="113"/>
      <c r="E689" s="114"/>
      <c r="F689" s="173"/>
      <c r="G689" s="116" t="s">
        <v>244</v>
      </c>
      <c r="H689" s="116" t="s">
        <v>244</v>
      </c>
      <c r="I689" s="113"/>
      <c r="J689" s="117" t="s">
        <v>244</v>
      </c>
      <c r="K689" s="118"/>
      <c r="L689" s="119">
        <v>0</v>
      </c>
      <c r="M689" s="120" t="s">
        <v>244</v>
      </c>
      <c r="N689" s="121" t="s">
        <v>244</v>
      </c>
      <c r="O689" s="122" t="s">
        <v>244</v>
      </c>
      <c r="P689" s="123" t="s">
        <v>244</v>
      </c>
      <c r="Q689" s="124"/>
      <c r="R689" s="135"/>
      <c r="S689" s="136"/>
      <c r="T689" s="137"/>
      <c r="U689" s="138" t="s">
        <v>244</v>
      </c>
      <c r="V689" s="138" t="s">
        <v>244</v>
      </c>
      <c r="W689" s="139" t="s">
        <v>244</v>
      </c>
      <c r="X689" s="139" t="s">
        <v>244</v>
      </c>
      <c r="Y689" s="54">
        <v>0</v>
      </c>
    </row>
    <row r="690" spans="2:25" s="49" customFormat="1" ht="15.75" x14ac:dyDescent="0.25">
      <c r="B690" s="133"/>
      <c r="C690" s="134"/>
      <c r="D690" s="113"/>
      <c r="E690" s="114"/>
      <c r="F690" s="173"/>
      <c r="G690" s="116" t="s">
        <v>244</v>
      </c>
      <c r="H690" s="116" t="s">
        <v>244</v>
      </c>
      <c r="I690" s="113"/>
      <c r="J690" s="117" t="s">
        <v>244</v>
      </c>
      <c r="K690" s="118"/>
      <c r="L690" s="119">
        <v>0</v>
      </c>
      <c r="M690" s="120" t="s">
        <v>244</v>
      </c>
      <c r="N690" s="121" t="s">
        <v>244</v>
      </c>
      <c r="O690" s="122" t="s">
        <v>244</v>
      </c>
      <c r="P690" s="123" t="s">
        <v>244</v>
      </c>
      <c r="Q690" s="124"/>
      <c r="R690" s="135"/>
      <c r="S690" s="136"/>
      <c r="T690" s="137"/>
      <c r="U690" s="138" t="s">
        <v>244</v>
      </c>
      <c r="V690" s="138" t="s">
        <v>244</v>
      </c>
      <c r="W690" s="139" t="s">
        <v>244</v>
      </c>
      <c r="X690" s="139" t="s">
        <v>244</v>
      </c>
      <c r="Y690" s="54">
        <v>0</v>
      </c>
    </row>
    <row r="691" spans="2:25" s="49" customFormat="1" ht="15.75" x14ac:dyDescent="0.25">
      <c r="B691" s="133"/>
      <c r="C691" s="134"/>
      <c r="D691" s="113"/>
      <c r="E691" s="114"/>
      <c r="F691" s="173"/>
      <c r="G691" s="116" t="s">
        <v>244</v>
      </c>
      <c r="H691" s="116" t="s">
        <v>244</v>
      </c>
      <c r="I691" s="113"/>
      <c r="J691" s="117" t="s">
        <v>244</v>
      </c>
      <c r="K691" s="118"/>
      <c r="L691" s="119">
        <v>0</v>
      </c>
      <c r="M691" s="120" t="s">
        <v>244</v>
      </c>
      <c r="N691" s="121" t="s">
        <v>244</v>
      </c>
      <c r="O691" s="122" t="s">
        <v>244</v>
      </c>
      <c r="P691" s="123" t="s">
        <v>244</v>
      </c>
      <c r="Q691" s="124"/>
      <c r="R691" s="135"/>
      <c r="S691" s="136"/>
      <c r="T691" s="137"/>
      <c r="U691" s="138" t="s">
        <v>244</v>
      </c>
      <c r="V691" s="138" t="s">
        <v>244</v>
      </c>
      <c r="W691" s="139" t="s">
        <v>244</v>
      </c>
      <c r="X691" s="139" t="s">
        <v>244</v>
      </c>
      <c r="Y691" s="54">
        <v>0</v>
      </c>
    </row>
    <row r="692" spans="2:25" s="49" customFormat="1" ht="15.75" x14ac:dyDescent="0.25">
      <c r="B692" s="133"/>
      <c r="C692" s="134"/>
      <c r="D692" s="113"/>
      <c r="E692" s="114"/>
      <c r="F692" s="173"/>
      <c r="G692" s="116" t="s">
        <v>244</v>
      </c>
      <c r="H692" s="116" t="s">
        <v>244</v>
      </c>
      <c r="I692" s="113"/>
      <c r="J692" s="117" t="s">
        <v>244</v>
      </c>
      <c r="K692" s="118"/>
      <c r="L692" s="119">
        <v>0</v>
      </c>
      <c r="M692" s="120" t="s">
        <v>244</v>
      </c>
      <c r="N692" s="121" t="s">
        <v>244</v>
      </c>
      <c r="O692" s="122" t="s">
        <v>244</v>
      </c>
      <c r="P692" s="123" t="s">
        <v>244</v>
      </c>
      <c r="Q692" s="124"/>
      <c r="R692" s="135"/>
      <c r="S692" s="136"/>
      <c r="T692" s="137"/>
      <c r="U692" s="138" t="s">
        <v>244</v>
      </c>
      <c r="V692" s="138" t="s">
        <v>244</v>
      </c>
      <c r="W692" s="139" t="s">
        <v>244</v>
      </c>
      <c r="X692" s="139" t="s">
        <v>244</v>
      </c>
      <c r="Y692" s="54">
        <v>0</v>
      </c>
    </row>
    <row r="693" spans="2:25" s="49" customFormat="1" ht="15.75" x14ac:dyDescent="0.25">
      <c r="B693" s="133"/>
      <c r="C693" s="134"/>
      <c r="D693" s="113"/>
      <c r="E693" s="114"/>
      <c r="F693" s="173"/>
      <c r="G693" s="116" t="s">
        <v>244</v>
      </c>
      <c r="H693" s="116" t="s">
        <v>244</v>
      </c>
      <c r="I693" s="113"/>
      <c r="J693" s="117" t="s">
        <v>244</v>
      </c>
      <c r="K693" s="118"/>
      <c r="L693" s="119">
        <v>0</v>
      </c>
      <c r="M693" s="120" t="s">
        <v>244</v>
      </c>
      <c r="N693" s="121" t="s">
        <v>244</v>
      </c>
      <c r="O693" s="122" t="s">
        <v>244</v>
      </c>
      <c r="P693" s="123" t="s">
        <v>244</v>
      </c>
      <c r="Q693" s="124"/>
      <c r="R693" s="135"/>
      <c r="S693" s="136"/>
      <c r="T693" s="137"/>
      <c r="U693" s="138" t="s">
        <v>244</v>
      </c>
      <c r="V693" s="138" t="s">
        <v>244</v>
      </c>
      <c r="W693" s="139" t="s">
        <v>244</v>
      </c>
      <c r="X693" s="139" t="s">
        <v>244</v>
      </c>
      <c r="Y693" s="54">
        <v>0</v>
      </c>
    </row>
    <row r="694" spans="2:25" s="49" customFormat="1" ht="15.75" x14ac:dyDescent="0.25">
      <c r="B694" s="133"/>
      <c r="C694" s="134"/>
      <c r="D694" s="113"/>
      <c r="E694" s="114"/>
      <c r="F694" s="173"/>
      <c r="G694" s="116" t="s">
        <v>244</v>
      </c>
      <c r="H694" s="116" t="s">
        <v>244</v>
      </c>
      <c r="I694" s="113"/>
      <c r="J694" s="117" t="s">
        <v>244</v>
      </c>
      <c r="K694" s="118"/>
      <c r="L694" s="119">
        <v>0</v>
      </c>
      <c r="M694" s="120" t="s">
        <v>244</v>
      </c>
      <c r="N694" s="121" t="s">
        <v>244</v>
      </c>
      <c r="O694" s="122" t="s">
        <v>244</v>
      </c>
      <c r="P694" s="123" t="s">
        <v>244</v>
      </c>
      <c r="Q694" s="124"/>
      <c r="R694" s="135"/>
      <c r="S694" s="136"/>
      <c r="T694" s="137"/>
      <c r="U694" s="138" t="s">
        <v>244</v>
      </c>
      <c r="V694" s="138" t="s">
        <v>244</v>
      </c>
      <c r="W694" s="139" t="s">
        <v>244</v>
      </c>
      <c r="X694" s="139" t="s">
        <v>244</v>
      </c>
      <c r="Y694" s="54">
        <v>0</v>
      </c>
    </row>
    <row r="695" spans="2:25" s="49" customFormat="1" ht="15.75" x14ac:dyDescent="0.25">
      <c r="B695" s="133"/>
      <c r="C695" s="134"/>
      <c r="D695" s="113"/>
      <c r="E695" s="114"/>
      <c r="F695" s="173"/>
      <c r="G695" s="116" t="s">
        <v>244</v>
      </c>
      <c r="H695" s="116" t="s">
        <v>244</v>
      </c>
      <c r="I695" s="113"/>
      <c r="J695" s="117" t="s">
        <v>244</v>
      </c>
      <c r="K695" s="118"/>
      <c r="L695" s="119">
        <v>0</v>
      </c>
      <c r="M695" s="120" t="s">
        <v>244</v>
      </c>
      <c r="N695" s="121" t="s">
        <v>244</v>
      </c>
      <c r="O695" s="122" t="s">
        <v>244</v>
      </c>
      <c r="P695" s="123" t="s">
        <v>244</v>
      </c>
      <c r="Q695" s="124"/>
      <c r="R695" s="135"/>
      <c r="S695" s="136"/>
      <c r="T695" s="137"/>
      <c r="U695" s="138" t="s">
        <v>244</v>
      </c>
      <c r="V695" s="138" t="s">
        <v>244</v>
      </c>
      <c r="W695" s="139" t="s">
        <v>244</v>
      </c>
      <c r="X695" s="139" t="s">
        <v>244</v>
      </c>
      <c r="Y695" s="54">
        <v>0</v>
      </c>
    </row>
    <row r="696" spans="2:25" s="49" customFormat="1" ht="15.75" x14ac:dyDescent="0.25">
      <c r="B696" s="133"/>
      <c r="C696" s="134"/>
      <c r="D696" s="113"/>
      <c r="E696" s="114"/>
      <c r="F696" s="173"/>
      <c r="G696" s="116" t="s">
        <v>244</v>
      </c>
      <c r="H696" s="116" t="s">
        <v>244</v>
      </c>
      <c r="I696" s="113"/>
      <c r="J696" s="117" t="s">
        <v>244</v>
      </c>
      <c r="K696" s="118"/>
      <c r="L696" s="119">
        <v>0</v>
      </c>
      <c r="M696" s="120" t="s">
        <v>244</v>
      </c>
      <c r="N696" s="121" t="s">
        <v>244</v>
      </c>
      <c r="O696" s="122" t="s">
        <v>244</v>
      </c>
      <c r="P696" s="123" t="s">
        <v>244</v>
      </c>
      <c r="Q696" s="124"/>
      <c r="R696" s="135"/>
      <c r="S696" s="136"/>
      <c r="T696" s="137"/>
      <c r="U696" s="138" t="s">
        <v>244</v>
      </c>
      <c r="V696" s="138" t="s">
        <v>244</v>
      </c>
      <c r="W696" s="139" t="s">
        <v>244</v>
      </c>
      <c r="X696" s="139" t="s">
        <v>244</v>
      </c>
      <c r="Y696" s="54">
        <v>0</v>
      </c>
    </row>
    <row r="697" spans="2:25" s="49" customFormat="1" ht="15.75" x14ac:dyDescent="0.25">
      <c r="B697" s="133"/>
      <c r="C697" s="134"/>
      <c r="D697" s="113"/>
      <c r="E697" s="114"/>
      <c r="F697" s="173"/>
      <c r="G697" s="116" t="s">
        <v>244</v>
      </c>
      <c r="H697" s="116" t="s">
        <v>244</v>
      </c>
      <c r="I697" s="113"/>
      <c r="J697" s="117" t="s">
        <v>244</v>
      </c>
      <c r="K697" s="118"/>
      <c r="L697" s="119">
        <v>0</v>
      </c>
      <c r="M697" s="120" t="s">
        <v>244</v>
      </c>
      <c r="N697" s="121" t="s">
        <v>244</v>
      </c>
      <c r="O697" s="122" t="s">
        <v>244</v>
      </c>
      <c r="P697" s="123" t="s">
        <v>244</v>
      </c>
      <c r="Q697" s="124"/>
      <c r="R697" s="135"/>
      <c r="S697" s="136"/>
      <c r="T697" s="137"/>
      <c r="U697" s="138" t="s">
        <v>244</v>
      </c>
      <c r="V697" s="138" t="s">
        <v>244</v>
      </c>
      <c r="W697" s="139" t="s">
        <v>244</v>
      </c>
      <c r="X697" s="139" t="s">
        <v>244</v>
      </c>
      <c r="Y697" s="54">
        <v>0</v>
      </c>
    </row>
    <row r="698" spans="2:25" s="49" customFormat="1" ht="15.75" x14ac:dyDescent="0.25">
      <c r="B698" s="133"/>
      <c r="C698" s="134"/>
      <c r="D698" s="113"/>
      <c r="E698" s="114"/>
      <c r="F698" s="173"/>
      <c r="G698" s="116" t="s">
        <v>244</v>
      </c>
      <c r="H698" s="116" t="s">
        <v>244</v>
      </c>
      <c r="I698" s="113"/>
      <c r="J698" s="117" t="s">
        <v>244</v>
      </c>
      <c r="K698" s="118"/>
      <c r="L698" s="119">
        <v>0</v>
      </c>
      <c r="M698" s="120" t="s">
        <v>244</v>
      </c>
      <c r="N698" s="121" t="s">
        <v>244</v>
      </c>
      <c r="O698" s="122" t="s">
        <v>244</v>
      </c>
      <c r="P698" s="123" t="s">
        <v>244</v>
      </c>
      <c r="Q698" s="124"/>
      <c r="R698" s="135"/>
      <c r="S698" s="136"/>
      <c r="T698" s="137"/>
      <c r="U698" s="138" t="s">
        <v>244</v>
      </c>
      <c r="V698" s="138" t="s">
        <v>244</v>
      </c>
      <c r="W698" s="139" t="s">
        <v>244</v>
      </c>
      <c r="X698" s="139" t="s">
        <v>244</v>
      </c>
      <c r="Y698" s="54">
        <v>0</v>
      </c>
    </row>
    <row r="699" spans="2:25" s="49" customFormat="1" ht="15.75" x14ac:dyDescent="0.25">
      <c r="B699" s="133"/>
      <c r="C699" s="134"/>
      <c r="D699" s="113"/>
      <c r="E699" s="114"/>
      <c r="F699" s="173"/>
      <c r="G699" s="116" t="s">
        <v>244</v>
      </c>
      <c r="H699" s="116" t="s">
        <v>244</v>
      </c>
      <c r="I699" s="113"/>
      <c r="J699" s="117" t="s">
        <v>244</v>
      </c>
      <c r="K699" s="118"/>
      <c r="L699" s="119">
        <v>0</v>
      </c>
      <c r="M699" s="120" t="s">
        <v>244</v>
      </c>
      <c r="N699" s="121" t="s">
        <v>244</v>
      </c>
      <c r="O699" s="122" t="s">
        <v>244</v>
      </c>
      <c r="P699" s="123" t="s">
        <v>244</v>
      </c>
      <c r="Q699" s="124"/>
      <c r="R699" s="135"/>
      <c r="S699" s="136"/>
      <c r="T699" s="137"/>
      <c r="U699" s="138" t="s">
        <v>244</v>
      </c>
      <c r="V699" s="138" t="s">
        <v>244</v>
      </c>
      <c r="W699" s="139" t="s">
        <v>244</v>
      </c>
      <c r="X699" s="139" t="s">
        <v>244</v>
      </c>
      <c r="Y699" s="54">
        <v>0</v>
      </c>
    </row>
    <row r="700" spans="2:25" s="49" customFormat="1" ht="15.75" x14ac:dyDescent="0.25">
      <c r="B700" s="133"/>
      <c r="C700" s="134"/>
      <c r="D700" s="113"/>
      <c r="E700" s="114"/>
      <c r="F700" s="173"/>
      <c r="G700" s="116" t="s">
        <v>244</v>
      </c>
      <c r="H700" s="116" t="s">
        <v>244</v>
      </c>
      <c r="I700" s="113"/>
      <c r="J700" s="117" t="s">
        <v>244</v>
      </c>
      <c r="K700" s="118"/>
      <c r="L700" s="119">
        <v>0</v>
      </c>
      <c r="M700" s="120" t="s">
        <v>244</v>
      </c>
      <c r="N700" s="121" t="s">
        <v>244</v>
      </c>
      <c r="O700" s="122" t="s">
        <v>244</v>
      </c>
      <c r="P700" s="123" t="s">
        <v>244</v>
      </c>
      <c r="Q700" s="124"/>
      <c r="R700" s="135"/>
      <c r="S700" s="136"/>
      <c r="T700" s="137"/>
      <c r="U700" s="138" t="s">
        <v>244</v>
      </c>
      <c r="V700" s="138" t="s">
        <v>244</v>
      </c>
      <c r="W700" s="139" t="s">
        <v>244</v>
      </c>
      <c r="X700" s="139" t="s">
        <v>244</v>
      </c>
      <c r="Y700" s="54">
        <v>0</v>
      </c>
    </row>
    <row r="701" spans="2:25" s="49" customFormat="1" ht="15.75" x14ac:dyDescent="0.25">
      <c r="B701" s="133"/>
      <c r="C701" s="134"/>
      <c r="D701" s="113"/>
      <c r="E701" s="114"/>
      <c r="F701" s="173"/>
      <c r="G701" s="116" t="s">
        <v>244</v>
      </c>
      <c r="H701" s="116" t="s">
        <v>244</v>
      </c>
      <c r="I701" s="113"/>
      <c r="J701" s="117" t="s">
        <v>244</v>
      </c>
      <c r="K701" s="118"/>
      <c r="L701" s="119">
        <v>0</v>
      </c>
      <c r="M701" s="120" t="s">
        <v>244</v>
      </c>
      <c r="N701" s="121" t="s">
        <v>244</v>
      </c>
      <c r="O701" s="122" t="s">
        <v>244</v>
      </c>
      <c r="P701" s="123" t="s">
        <v>244</v>
      </c>
      <c r="Q701" s="124"/>
      <c r="R701" s="135"/>
      <c r="S701" s="136"/>
      <c r="T701" s="137"/>
      <c r="U701" s="138" t="s">
        <v>244</v>
      </c>
      <c r="V701" s="138" t="s">
        <v>244</v>
      </c>
      <c r="W701" s="139" t="s">
        <v>244</v>
      </c>
      <c r="X701" s="139" t="s">
        <v>244</v>
      </c>
      <c r="Y701" s="54">
        <v>0</v>
      </c>
    </row>
    <row r="702" spans="2:25" s="49" customFormat="1" ht="15.75" x14ac:dyDescent="0.25">
      <c r="B702" s="133"/>
      <c r="C702" s="134"/>
      <c r="D702" s="113"/>
      <c r="E702" s="114"/>
      <c r="F702" s="173"/>
      <c r="G702" s="116" t="s">
        <v>244</v>
      </c>
      <c r="H702" s="116" t="s">
        <v>244</v>
      </c>
      <c r="I702" s="113"/>
      <c r="J702" s="117" t="s">
        <v>244</v>
      </c>
      <c r="K702" s="118"/>
      <c r="L702" s="119">
        <v>0</v>
      </c>
      <c r="M702" s="120" t="s">
        <v>244</v>
      </c>
      <c r="N702" s="121" t="s">
        <v>244</v>
      </c>
      <c r="O702" s="122" t="s">
        <v>244</v>
      </c>
      <c r="P702" s="123" t="s">
        <v>244</v>
      </c>
      <c r="Q702" s="124"/>
      <c r="R702" s="135"/>
      <c r="S702" s="136"/>
      <c r="T702" s="137"/>
      <c r="U702" s="138" t="s">
        <v>244</v>
      </c>
      <c r="V702" s="138" t="s">
        <v>244</v>
      </c>
      <c r="W702" s="139" t="s">
        <v>244</v>
      </c>
      <c r="X702" s="139" t="s">
        <v>244</v>
      </c>
      <c r="Y702" s="54">
        <v>0</v>
      </c>
    </row>
    <row r="703" spans="2:25" s="49" customFormat="1" ht="15.75" x14ac:dyDescent="0.25">
      <c r="B703" s="133"/>
      <c r="C703" s="134"/>
      <c r="D703" s="113"/>
      <c r="E703" s="114"/>
      <c r="F703" s="173"/>
      <c r="G703" s="116" t="s">
        <v>244</v>
      </c>
      <c r="H703" s="116" t="s">
        <v>244</v>
      </c>
      <c r="I703" s="113"/>
      <c r="J703" s="117" t="s">
        <v>244</v>
      </c>
      <c r="K703" s="118"/>
      <c r="L703" s="119">
        <v>0</v>
      </c>
      <c r="M703" s="120" t="s">
        <v>244</v>
      </c>
      <c r="N703" s="121" t="s">
        <v>244</v>
      </c>
      <c r="O703" s="122" t="s">
        <v>244</v>
      </c>
      <c r="P703" s="123" t="s">
        <v>244</v>
      </c>
      <c r="Q703" s="124"/>
      <c r="R703" s="135"/>
      <c r="S703" s="136"/>
      <c r="T703" s="137"/>
      <c r="U703" s="138" t="s">
        <v>244</v>
      </c>
      <c r="V703" s="138" t="s">
        <v>244</v>
      </c>
      <c r="W703" s="139" t="s">
        <v>244</v>
      </c>
      <c r="X703" s="139" t="s">
        <v>244</v>
      </c>
      <c r="Y703" s="54">
        <v>0</v>
      </c>
    </row>
  </sheetData>
  <sheetProtection password="EF5C" sheet="1" objects="1" scenarios="1" selectLockedCells="1" selectUnlockedCells="1"/>
  <mergeCells count="8">
    <mergeCell ref="R16:X16"/>
    <mergeCell ref="I4:K4"/>
    <mergeCell ref="I5:K11"/>
    <mergeCell ref="K13:N13"/>
    <mergeCell ref="D16:F16"/>
    <mergeCell ref="G16:H16"/>
    <mergeCell ref="I16:K16"/>
    <mergeCell ref="M16:P16"/>
  </mergeCells>
  <conditionalFormatting sqref="K18:K117 K122:K126 K128:K703">
    <cfRule type="expression" dxfId="15" priority="1" stopIfTrue="1">
      <formula>$J18="NO"</formula>
    </cfRule>
  </conditionalFormatting>
  <conditionalFormatting sqref="V18:V117 V122:V126 V119 V128:V703">
    <cfRule type="expression" dxfId="14" priority="2" stopIfTrue="1">
      <formula>OR($R18="",$R18=0)</formula>
    </cfRule>
  </conditionalFormatting>
  <conditionalFormatting sqref="X119 Y118 AD118 W122:X126 W18:X118 D118:V118 W128:X703">
    <cfRule type="cellIs" dxfId="13" priority="3" stopIfTrue="1" operator="equal">
      <formula>"ERROR"</formula>
    </cfRule>
    <cfRule type="expression" dxfId="12" priority="4" stopIfTrue="1">
      <formula>OR($R18="",$R18=0)</formula>
    </cfRule>
  </conditionalFormatting>
  <conditionalFormatting sqref="U18:U117 U122:U126 U119 U128:U703">
    <cfRule type="expression" dxfId="11" priority="5" stopIfTrue="1">
      <formula>OR($R18="",$R18=0)</formula>
    </cfRule>
    <cfRule type="cellIs" dxfId="10" priority="6" stopIfTrue="1" operator="lessThan">
      <formula>0</formula>
    </cfRule>
  </conditionalFormatting>
  <conditionalFormatting sqref="C18:C22 C119:C703 E127 G127 I127 K127 M127 O127 Q127 S127 U127 W127 Y127 AA127 AC127 AE127 AG127 AI127 AK127 AM127">
    <cfRule type="expression" dxfId="9" priority="7" stopIfTrue="1">
      <formula>OR($G18&lt;0,$U18&lt;0)</formula>
    </cfRule>
  </conditionalFormatting>
  <conditionalFormatting sqref="T18:T117 T122:T126 T128:T703">
    <cfRule type="expression" dxfId="8" priority="8" stopIfTrue="1">
      <formula>$E18=""</formula>
    </cfRule>
    <cfRule type="expression" dxfId="7" priority="9" stopIfTrue="1">
      <formula>$S18=""</formula>
    </cfRule>
  </conditionalFormatting>
  <conditionalFormatting sqref="O18:P117 O122:P126 O119:P119 O128:P703">
    <cfRule type="cellIs" dxfId="6" priority="10" stopIfTrue="1" operator="equal">
      <formula>"ERROR"</formula>
    </cfRule>
  </conditionalFormatting>
  <conditionalFormatting sqref="G18:G117 G122:G126 G119 G128:G703">
    <cfRule type="cellIs" dxfId="5" priority="11" stopIfTrue="1" operator="lessThan">
      <formula>0</formula>
    </cfRule>
  </conditionalFormatting>
  <conditionalFormatting sqref="K15 I15 R15:T15 D15 F15">
    <cfRule type="cellIs" dxfId="4" priority="12" stopIfTrue="1" operator="equal">
      <formula>"MISSING VALUE"</formula>
    </cfRule>
  </conditionalFormatting>
  <conditionalFormatting sqref="I4:K4">
    <cfRule type="expression" dxfId="3" priority="13" stopIfTrue="1">
      <formula>$L$1&gt;0</formula>
    </cfRule>
  </conditionalFormatting>
  <conditionalFormatting sqref="I5:K11">
    <cfRule type="expression" dxfId="2" priority="14" stopIfTrue="1">
      <formula>$L$1&gt;0</formula>
    </cfRule>
  </conditionalFormatting>
  <conditionalFormatting sqref="K13">
    <cfRule type="cellIs" dxfId="1" priority="15" stopIfTrue="1" operator="equal">
      <formula>"WARNING. Value must be between 10% and 100%"</formula>
    </cfRule>
  </conditionalFormatting>
  <conditionalFormatting sqref="C23:C118">
    <cfRule type="expression" dxfId="0" priority="16" stopIfTrue="1">
      <formula>OR($H23&lt;0,$W23&lt;0)</formula>
    </cfRule>
  </conditionalFormatting>
  <dataValidations count="4">
    <dataValidation type="decimal" allowBlank="1" showInputMessage="1" showErrorMessage="1" errorTitle="No valid data " error="Value must be between 10% and 100%" sqref="K18:K117 K122:K126 K128:K703">
      <formula1>0.1</formula1>
      <formula2>1</formula2>
    </dataValidation>
    <dataValidation type="list" allowBlank="1" showInputMessage="1" showErrorMessage="1" sqref="E18:E117 E119:E120 E122:E126 E128:E703">
      <formula1>$O$2:$O$4</formula1>
    </dataValidation>
    <dataValidation type="decimal" allowBlank="1" showInputMessage="1" showErrorMessage="1" error="Please enter a value between 0 and 12" sqref="T18:T117 T122:T126 T128:T703">
      <formula1>0</formula1>
      <formula2>12</formula2>
    </dataValidation>
    <dataValidation type="list" allowBlank="1" showInputMessage="1" showErrorMessage="1" sqref="S18:S117 S122:S126 S128:S703">
      <formula1>$S$1:$S$2</formula1>
    </dataValidation>
  </dataValidations>
  <pageMargins left="0.2" right="1.29" top="0.38" bottom="0.35" header="0.17" footer="0.16"/>
  <pageSetup paperSize="9" scale="48" fitToWidth="2" fitToHeight="2" orientation="landscape" r:id="rId1"/>
  <headerFooter alignWithMargins="0">
    <oddHeader>&amp;A</oddHeader>
    <oddFooter>&amp;Z&amp;F</oddFooter>
  </headerFooter>
  <colBreaks count="1" manualBreakCount="1">
    <brk id="12" max="1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9"/>
  <sheetViews>
    <sheetView workbookViewId="0">
      <pane xSplit="2" ySplit="2" topLeftCell="C79" activePane="bottomRight" state="frozen"/>
      <selection activeCell="C63" sqref="C63"/>
      <selection pane="topRight" activeCell="C63" sqref="C63"/>
      <selection pane="bottomLeft" activeCell="C63" sqref="C63"/>
      <selection pane="bottomRight" activeCell="C89" sqref="C89"/>
    </sheetView>
  </sheetViews>
  <sheetFormatPr defaultRowHeight="12.75" x14ac:dyDescent="0.2"/>
  <cols>
    <col min="1" max="1" width="47.140625" style="197" bestFit="1" customWidth="1"/>
    <col min="2" max="2" width="8.7109375" style="1126" customWidth="1"/>
    <col min="3" max="3" width="11.85546875" style="1127" customWidth="1"/>
    <col min="4" max="4" width="12.140625" style="1128" customWidth="1"/>
    <col min="5" max="8" width="9.140625" style="1128"/>
    <col min="11" max="21" width="9.140625" style="1128"/>
    <col min="24" max="35" width="9.140625" style="1128"/>
    <col min="38" max="38" width="9.140625" style="1128"/>
    <col min="39" max="39" width="10.85546875" style="1128" customWidth="1"/>
    <col min="45" max="45" width="9.140625" style="309"/>
    <col min="46" max="46" width="11.5703125" style="309" customWidth="1"/>
    <col min="47" max="47" width="8.85546875" customWidth="1"/>
    <col min="48" max="48" width="11.5703125" customWidth="1"/>
    <col min="51" max="51" width="10.140625" customWidth="1"/>
    <col min="58" max="58" width="11.7109375" customWidth="1"/>
    <col min="59" max="59" width="10.7109375" customWidth="1"/>
  </cols>
  <sheetData>
    <row r="1" spans="1:59" x14ac:dyDescent="0.2">
      <c r="V1" s="1128"/>
    </row>
    <row r="2" spans="1:59" ht="51" x14ac:dyDescent="0.2">
      <c r="A2" s="1129" t="s">
        <v>1046</v>
      </c>
      <c r="B2" s="1130" t="s">
        <v>142</v>
      </c>
      <c r="C2" s="1131" t="s">
        <v>1047</v>
      </c>
      <c r="D2" s="1132" t="s">
        <v>1048</v>
      </c>
      <c r="E2" s="1133" t="s">
        <v>1049</v>
      </c>
      <c r="F2" s="1133" t="s">
        <v>1050</v>
      </c>
      <c r="G2" s="1131" t="s">
        <v>1051</v>
      </c>
      <c r="H2" s="1131" t="s">
        <v>1052</v>
      </c>
      <c r="K2" s="1134" t="s">
        <v>1053</v>
      </c>
      <c r="L2" s="1134" t="s">
        <v>1054</v>
      </c>
      <c r="M2" s="1134" t="s">
        <v>1055</v>
      </c>
      <c r="N2" s="1134" t="s">
        <v>1056</v>
      </c>
      <c r="O2" s="1134" t="s">
        <v>1057</v>
      </c>
      <c r="P2" s="1134" t="s">
        <v>1058</v>
      </c>
      <c r="Q2" s="1134" t="s">
        <v>1059</v>
      </c>
      <c r="R2" s="1134" t="s">
        <v>1060</v>
      </c>
      <c r="S2" s="1134" t="s">
        <v>1061</v>
      </c>
      <c r="T2" s="1134" t="s">
        <v>1062</v>
      </c>
      <c r="U2" s="1134" t="s">
        <v>1063</v>
      </c>
      <c r="V2" s="1135" t="s">
        <v>1064</v>
      </c>
      <c r="W2" s="1136"/>
      <c r="X2" s="1131" t="s">
        <v>1053</v>
      </c>
      <c r="Y2" s="1131" t="s">
        <v>1054</v>
      </c>
      <c r="Z2" s="1131" t="s">
        <v>1055</v>
      </c>
      <c r="AA2" s="1131" t="s">
        <v>1056</v>
      </c>
      <c r="AB2" s="1131" t="s">
        <v>1057</v>
      </c>
      <c r="AC2" s="1131" t="s">
        <v>1058</v>
      </c>
      <c r="AD2" s="1131" t="s">
        <v>1059</v>
      </c>
      <c r="AE2" s="1131" t="s">
        <v>1060</v>
      </c>
      <c r="AF2" s="1131" t="s">
        <v>1061</v>
      </c>
      <c r="AG2" s="1131" t="s">
        <v>1062</v>
      </c>
      <c r="AH2" s="1131" t="s">
        <v>1063</v>
      </c>
      <c r="AI2" s="1131" t="s">
        <v>1064</v>
      </c>
      <c r="AK2" s="1137"/>
      <c r="AL2" s="1134" t="s">
        <v>1065</v>
      </c>
      <c r="AM2" s="1134" t="s">
        <v>1066</v>
      </c>
      <c r="AO2" s="1131" t="s">
        <v>1065</v>
      </c>
      <c r="AP2" s="1131" t="s">
        <v>1066</v>
      </c>
      <c r="AS2" s="1138" t="s">
        <v>202</v>
      </c>
      <c r="AT2" s="1138" t="s">
        <v>203</v>
      </c>
      <c r="AU2" s="1136" t="s">
        <v>1067</v>
      </c>
      <c r="AV2" s="1136" t="s">
        <v>1068</v>
      </c>
      <c r="AW2" s="1136"/>
      <c r="AX2" s="1139" t="s">
        <v>202</v>
      </c>
      <c r="AY2" s="1139" t="s">
        <v>203</v>
      </c>
      <c r="BA2" s="234" t="s">
        <v>1069</v>
      </c>
      <c r="BC2" s="1140" t="s">
        <v>1070</v>
      </c>
      <c r="BE2" s="1141"/>
      <c r="BF2" s="1135" t="s">
        <v>1071</v>
      </c>
      <c r="BG2" s="1139" t="s">
        <v>1071</v>
      </c>
    </row>
    <row r="3" spans="1:59" x14ac:dyDescent="0.2">
      <c r="A3" s="197" t="s">
        <v>44</v>
      </c>
      <c r="B3" s="1126">
        <v>2400</v>
      </c>
      <c r="C3" s="1127">
        <v>323</v>
      </c>
      <c r="D3" s="1127">
        <v>0</v>
      </c>
      <c r="E3" s="1128">
        <v>0.71986970684039087</v>
      </c>
      <c r="F3" s="1128">
        <v>0</v>
      </c>
      <c r="G3" s="1128">
        <f t="shared" ref="G3:H34" si="0">E3*C3</f>
        <v>232.51791530944624</v>
      </c>
      <c r="H3" s="1128">
        <f t="shared" si="0"/>
        <v>0</v>
      </c>
      <c r="K3" s="1128">
        <v>1.54798761609907E-2</v>
      </c>
      <c r="L3" s="1128">
        <v>0</v>
      </c>
      <c r="M3" s="1128">
        <v>1.8575851393188899E-2</v>
      </c>
      <c r="N3" s="1128">
        <v>0</v>
      </c>
      <c r="O3" s="1128">
        <v>2.4767801857585099E-2</v>
      </c>
      <c r="P3" s="1128">
        <v>0</v>
      </c>
      <c r="Q3" s="1128">
        <v>0.40866873065015502</v>
      </c>
      <c r="R3" s="1128">
        <v>0</v>
      </c>
      <c r="S3" s="1128">
        <v>0.32198142414860698</v>
      </c>
      <c r="T3" s="1128">
        <v>0</v>
      </c>
      <c r="U3" s="1128">
        <v>0.19814241486068099</v>
      </c>
      <c r="V3" s="1128">
        <v>0</v>
      </c>
      <c r="X3" s="1128">
        <f t="shared" ref="X3:Y34" si="1">K3*C3</f>
        <v>4.9999999999999964</v>
      </c>
      <c r="Y3" s="1128">
        <f t="shared" si="1"/>
        <v>0</v>
      </c>
      <c r="Z3" s="1128">
        <f t="shared" ref="Z3:AA34" si="2">M3*C3</f>
        <v>6.0000000000000142</v>
      </c>
      <c r="AA3" s="1128">
        <f t="shared" si="2"/>
        <v>0</v>
      </c>
      <c r="AB3" s="1128">
        <f t="shared" ref="AB3:AC34" si="3">O3*C3</f>
        <v>7.9999999999999867</v>
      </c>
      <c r="AC3" s="1128">
        <f t="shared" si="3"/>
        <v>0</v>
      </c>
      <c r="AD3" s="1128">
        <f t="shared" ref="AD3:AE34" si="4">Q3*C3</f>
        <v>132.00000000000009</v>
      </c>
      <c r="AE3" s="1128">
        <f t="shared" si="4"/>
        <v>0</v>
      </c>
      <c r="AF3" s="1128">
        <f t="shared" ref="AF3:AG34" si="5">S3*C3</f>
        <v>104.00000000000006</v>
      </c>
      <c r="AG3" s="1128">
        <f t="shared" si="5"/>
        <v>0</v>
      </c>
      <c r="AH3" s="1128">
        <f t="shared" ref="AH3:AI34" si="6">U3*C3</f>
        <v>63.999999999999957</v>
      </c>
      <c r="AI3" s="1128">
        <f t="shared" si="6"/>
        <v>0</v>
      </c>
      <c r="AL3" s="1128">
        <v>0.14661654135338301</v>
      </c>
      <c r="AM3" s="1128">
        <v>0</v>
      </c>
      <c r="AO3">
        <f t="shared" ref="AO3:AP34" si="7">AL3*C3</f>
        <v>47.357142857142712</v>
      </c>
      <c r="AP3">
        <f t="shared" si="7"/>
        <v>0</v>
      </c>
      <c r="AS3" s="309">
        <v>0.148606811145511</v>
      </c>
      <c r="AT3" s="309">
        <v>0</v>
      </c>
      <c r="AU3" s="309">
        <f>AS3-10%</f>
        <v>4.8606811145510992E-2</v>
      </c>
      <c r="AV3" s="1142">
        <f>AT3-10%</f>
        <v>-0.1</v>
      </c>
      <c r="AX3">
        <f>IF(AU3&gt;0,AU3*C3,0)</f>
        <v>15.700000000000051</v>
      </c>
      <c r="AY3">
        <f>IF(AV3&gt;0,AV3*D3,0)</f>
        <v>0</v>
      </c>
      <c r="BA3" s="1128">
        <v>6.5146579804560263E-3</v>
      </c>
      <c r="BC3">
        <f>BA3*C3</f>
        <v>2.1042345276872965</v>
      </c>
      <c r="BF3">
        <v>0</v>
      </c>
      <c r="BG3" s="1128"/>
    </row>
    <row r="4" spans="1:59" x14ac:dyDescent="0.2">
      <c r="A4" s="197" t="s">
        <v>45</v>
      </c>
      <c r="B4" s="1126">
        <v>2443</v>
      </c>
      <c r="C4" s="1127">
        <v>259</v>
      </c>
      <c r="D4" s="1127">
        <v>0</v>
      </c>
      <c r="E4" s="1128">
        <v>0.21111111111111108</v>
      </c>
      <c r="F4" s="1128">
        <v>0</v>
      </c>
      <c r="G4" s="1128">
        <f t="shared" si="0"/>
        <v>54.67777777777777</v>
      </c>
      <c r="H4" s="1128">
        <f t="shared" si="0"/>
        <v>0</v>
      </c>
      <c r="K4" s="1128">
        <v>0.135658914728682</v>
      </c>
      <c r="L4" s="1128">
        <v>0</v>
      </c>
      <c r="M4" s="1128">
        <v>2.32558139534884E-2</v>
      </c>
      <c r="N4" s="1128">
        <v>0</v>
      </c>
      <c r="O4" s="1128">
        <v>0.135658914728682</v>
      </c>
      <c r="P4" s="1128">
        <v>0</v>
      </c>
      <c r="Q4" s="1128">
        <v>0.19767441860465099</v>
      </c>
      <c r="R4" s="1128">
        <v>0</v>
      </c>
      <c r="S4" s="1128">
        <v>0.104651162790698</v>
      </c>
      <c r="T4" s="1128">
        <v>0</v>
      </c>
      <c r="U4" s="1128">
        <v>1.16279069767442E-2</v>
      </c>
      <c r="V4" s="1128">
        <v>0</v>
      </c>
      <c r="X4" s="1128">
        <f t="shared" si="1"/>
        <v>35.135658914728637</v>
      </c>
      <c r="Y4" s="1128">
        <f t="shared" si="1"/>
        <v>0</v>
      </c>
      <c r="Z4" s="1128">
        <f t="shared" si="2"/>
        <v>6.0232558139534955</v>
      </c>
      <c r="AA4" s="1128">
        <f t="shared" si="2"/>
        <v>0</v>
      </c>
      <c r="AB4" s="1128">
        <f t="shared" si="3"/>
        <v>35.135658914728637</v>
      </c>
      <c r="AC4" s="1128">
        <f t="shared" si="3"/>
        <v>0</v>
      </c>
      <c r="AD4" s="1128">
        <f t="shared" si="4"/>
        <v>51.197674418604606</v>
      </c>
      <c r="AE4" s="1128">
        <f t="shared" si="4"/>
        <v>0</v>
      </c>
      <c r="AF4" s="1128">
        <f t="shared" si="5"/>
        <v>27.10465116279078</v>
      </c>
      <c r="AG4" s="1128">
        <f t="shared" si="5"/>
        <v>0</v>
      </c>
      <c r="AH4" s="1128">
        <f t="shared" si="6"/>
        <v>3.0116279069767478</v>
      </c>
      <c r="AI4" s="1128">
        <f t="shared" si="6"/>
        <v>0</v>
      </c>
      <c r="AL4" s="1128">
        <v>3.3707865168539297E-2</v>
      </c>
      <c r="AM4" s="1128">
        <v>0</v>
      </c>
      <c r="AO4">
        <f t="shared" si="7"/>
        <v>8.7303370786516776</v>
      </c>
      <c r="AP4">
        <f t="shared" si="7"/>
        <v>0</v>
      </c>
      <c r="AS4" s="309">
        <v>2.31660231660232E-2</v>
      </c>
      <c r="AT4" s="309">
        <v>0</v>
      </c>
      <c r="AU4" s="309">
        <f t="shared" ref="AU4:AV67" si="8">AS4-10%</f>
        <v>-7.6833976833976803E-2</v>
      </c>
      <c r="AV4" s="1142">
        <f t="shared" si="8"/>
        <v>-0.1</v>
      </c>
      <c r="AX4">
        <f t="shared" ref="AX4:AY67" si="9">IF(AU4&gt;0,AU4*C4,0)</f>
        <v>0</v>
      </c>
      <c r="AY4">
        <f t="shared" si="9"/>
        <v>0</v>
      </c>
      <c r="BA4" s="1128">
        <v>3.7037037037037038E-3</v>
      </c>
      <c r="BC4">
        <f t="shared" ref="BC4:BC22" si="10">BA4*C4</f>
        <v>0.95925925925925926</v>
      </c>
      <c r="BF4">
        <v>0</v>
      </c>
      <c r="BG4" s="1128"/>
    </row>
    <row r="5" spans="1:59" x14ac:dyDescent="0.2">
      <c r="A5" s="197" t="s">
        <v>155</v>
      </c>
      <c r="B5" s="1126">
        <v>2442</v>
      </c>
      <c r="C5" s="1127">
        <v>294</v>
      </c>
      <c r="D5" s="1127">
        <v>0</v>
      </c>
      <c r="E5" s="1128">
        <v>0.40264026402640263</v>
      </c>
      <c r="F5" s="1128">
        <v>0</v>
      </c>
      <c r="G5" s="1128">
        <f t="shared" si="0"/>
        <v>118.37623762376238</v>
      </c>
      <c r="H5" s="1128">
        <f t="shared" si="0"/>
        <v>0</v>
      </c>
      <c r="K5" s="1128">
        <v>0.15131578947368399</v>
      </c>
      <c r="L5" s="1128">
        <v>0</v>
      </c>
      <c r="M5" s="1128">
        <v>3.6184210526315798E-2</v>
      </c>
      <c r="N5" s="1128">
        <v>0</v>
      </c>
      <c r="O5" s="1128">
        <v>0.13157894736842099</v>
      </c>
      <c r="P5" s="1128">
        <v>0</v>
      </c>
      <c r="Q5" s="1128">
        <v>0.16447368421052599</v>
      </c>
      <c r="R5" s="1128">
        <v>0</v>
      </c>
      <c r="S5" s="1128">
        <v>0.118421052631579</v>
      </c>
      <c r="T5" s="1128">
        <v>0</v>
      </c>
      <c r="U5" s="1128">
        <v>1.6447368421052599E-2</v>
      </c>
      <c r="V5" s="1128">
        <v>0</v>
      </c>
      <c r="X5" s="1128">
        <f t="shared" si="1"/>
        <v>44.486842105263094</v>
      </c>
      <c r="Y5" s="1128">
        <f t="shared" si="1"/>
        <v>0</v>
      </c>
      <c r="Z5" s="1128">
        <f t="shared" si="2"/>
        <v>10.638157894736844</v>
      </c>
      <c r="AA5" s="1128">
        <f t="shared" si="2"/>
        <v>0</v>
      </c>
      <c r="AB5" s="1128">
        <f t="shared" si="3"/>
        <v>38.684210526315773</v>
      </c>
      <c r="AC5" s="1128">
        <f t="shared" si="3"/>
        <v>0</v>
      </c>
      <c r="AD5" s="1128">
        <f t="shared" si="4"/>
        <v>48.35526315789464</v>
      </c>
      <c r="AE5" s="1128">
        <f t="shared" si="4"/>
        <v>0</v>
      </c>
      <c r="AF5" s="1128">
        <f t="shared" si="5"/>
        <v>34.815789473684227</v>
      </c>
      <c r="AG5" s="1128">
        <f t="shared" si="5"/>
        <v>0</v>
      </c>
      <c r="AH5" s="1128">
        <f t="shared" si="6"/>
        <v>4.8355263157894646</v>
      </c>
      <c r="AI5" s="1128">
        <f t="shared" si="6"/>
        <v>0</v>
      </c>
      <c r="AL5" s="1128">
        <v>2.2875816993464099E-2</v>
      </c>
      <c r="AM5" s="1128">
        <v>0</v>
      </c>
      <c r="AO5">
        <f t="shared" si="7"/>
        <v>6.7254901960784448</v>
      </c>
      <c r="AP5">
        <f t="shared" si="7"/>
        <v>0</v>
      </c>
      <c r="AS5" s="309">
        <v>6.2091503267973899E-2</v>
      </c>
      <c r="AT5" s="309">
        <v>0</v>
      </c>
      <c r="AU5" s="309">
        <f t="shared" si="8"/>
        <v>-3.7908496732026106E-2</v>
      </c>
      <c r="AV5" s="1142">
        <f t="shared" si="8"/>
        <v>-0.1</v>
      </c>
      <c r="AX5">
        <f t="shared" si="9"/>
        <v>0</v>
      </c>
      <c r="AY5">
        <f t="shared" si="9"/>
        <v>0</v>
      </c>
      <c r="BA5" s="1128">
        <v>0</v>
      </c>
      <c r="BC5">
        <f t="shared" si="10"/>
        <v>0</v>
      </c>
      <c r="BF5">
        <v>0</v>
      </c>
      <c r="BG5" s="1128"/>
    </row>
    <row r="6" spans="1:59" x14ac:dyDescent="0.2">
      <c r="A6" s="197" t="s">
        <v>47</v>
      </c>
      <c r="B6" s="1126">
        <v>2629</v>
      </c>
      <c r="C6" s="1127">
        <v>401</v>
      </c>
      <c r="D6" s="1127">
        <v>0</v>
      </c>
      <c r="E6" s="1128">
        <v>0.36235955056179781</v>
      </c>
      <c r="F6" s="1128">
        <v>0</v>
      </c>
      <c r="G6" s="1128">
        <f t="shared" si="0"/>
        <v>145.30617977528092</v>
      </c>
      <c r="H6" s="1128">
        <f t="shared" si="0"/>
        <v>0</v>
      </c>
      <c r="K6" s="1128">
        <v>4.92610837438424E-3</v>
      </c>
      <c r="L6" s="1128">
        <v>0</v>
      </c>
      <c r="M6" s="1128">
        <v>6.8965517241379296E-2</v>
      </c>
      <c r="N6" s="1128">
        <v>0</v>
      </c>
      <c r="O6" s="1128">
        <v>0.268472906403941</v>
      </c>
      <c r="P6" s="1128">
        <v>0</v>
      </c>
      <c r="Q6" s="1128">
        <v>0.47783251231527102</v>
      </c>
      <c r="R6" s="1128">
        <v>0</v>
      </c>
      <c r="S6" s="1128">
        <v>0.123152709359606</v>
      </c>
      <c r="T6" s="1128">
        <v>0</v>
      </c>
      <c r="U6" s="1128">
        <v>2.7093596059113299E-2</v>
      </c>
      <c r="V6" s="1128">
        <v>0</v>
      </c>
      <c r="X6" s="1128">
        <f t="shared" si="1"/>
        <v>1.9753694581280803</v>
      </c>
      <c r="Y6" s="1128">
        <f t="shared" si="1"/>
        <v>0</v>
      </c>
      <c r="Z6" s="1128">
        <f t="shared" si="2"/>
        <v>27.655172413793096</v>
      </c>
      <c r="AA6" s="1128">
        <f t="shared" si="2"/>
        <v>0</v>
      </c>
      <c r="AB6" s="1128">
        <f t="shared" si="3"/>
        <v>107.65763546798034</v>
      </c>
      <c r="AC6" s="1128">
        <f t="shared" si="3"/>
        <v>0</v>
      </c>
      <c r="AD6" s="1128">
        <f t="shared" si="4"/>
        <v>191.61083743842369</v>
      </c>
      <c r="AE6" s="1128">
        <f t="shared" si="4"/>
        <v>0</v>
      </c>
      <c r="AF6" s="1128">
        <f t="shared" si="5"/>
        <v>49.384236453202007</v>
      </c>
      <c r="AG6" s="1128">
        <f t="shared" si="5"/>
        <v>0</v>
      </c>
      <c r="AH6" s="1128">
        <f t="shared" si="6"/>
        <v>10.864532019704432</v>
      </c>
      <c r="AI6" s="1128">
        <f t="shared" si="6"/>
        <v>0</v>
      </c>
      <c r="AL6" s="1128">
        <v>0.53939393939393898</v>
      </c>
      <c r="AM6" s="1128">
        <v>0</v>
      </c>
      <c r="AO6">
        <f t="shared" si="7"/>
        <v>216.29696969696954</v>
      </c>
      <c r="AP6">
        <f t="shared" si="7"/>
        <v>0</v>
      </c>
      <c r="AS6" s="309">
        <v>0.16256157635467999</v>
      </c>
      <c r="AT6" s="309">
        <v>0</v>
      </c>
      <c r="AU6" s="309">
        <f t="shared" si="8"/>
        <v>6.2561576354679987E-2</v>
      </c>
      <c r="AV6" s="1142">
        <f t="shared" si="8"/>
        <v>-0.1</v>
      </c>
      <c r="AX6">
        <f t="shared" si="9"/>
        <v>25.087192118226675</v>
      </c>
      <c r="AY6">
        <f t="shared" si="9"/>
        <v>0</v>
      </c>
      <c r="BA6" s="1128">
        <v>0</v>
      </c>
      <c r="BC6">
        <f t="shared" si="10"/>
        <v>0</v>
      </c>
      <c r="BF6">
        <v>0</v>
      </c>
      <c r="BG6" s="1128"/>
    </row>
    <row r="7" spans="1:59" x14ac:dyDescent="0.2">
      <c r="A7" s="197" t="s">
        <v>48</v>
      </c>
      <c r="B7" s="1126">
        <v>2509</v>
      </c>
      <c r="C7" s="1127">
        <v>188</v>
      </c>
      <c r="D7" s="1127">
        <v>0</v>
      </c>
      <c r="E7" s="1128">
        <v>0.27604166666666663</v>
      </c>
      <c r="F7" s="1128">
        <v>0</v>
      </c>
      <c r="G7" s="1128">
        <f t="shared" si="0"/>
        <v>51.895833333333329</v>
      </c>
      <c r="H7" s="1128">
        <f t="shared" si="0"/>
        <v>0</v>
      </c>
      <c r="K7" s="1128">
        <v>5.85106382978723E-2</v>
      </c>
      <c r="L7" s="1128">
        <v>0</v>
      </c>
      <c r="M7" s="1128">
        <v>5.31914893617021E-3</v>
      </c>
      <c r="N7" s="1128">
        <v>0</v>
      </c>
      <c r="O7" s="1128">
        <v>0.28723404255319201</v>
      </c>
      <c r="P7" s="1128">
        <v>0</v>
      </c>
      <c r="Q7" s="1128">
        <v>0.13829787234042601</v>
      </c>
      <c r="R7" s="1128">
        <v>0</v>
      </c>
      <c r="S7" s="1128">
        <v>4.2553191489361701E-2</v>
      </c>
      <c r="T7" s="1128">
        <v>0</v>
      </c>
      <c r="U7" s="1128">
        <v>5.31914893617021E-2</v>
      </c>
      <c r="V7" s="1128">
        <v>0</v>
      </c>
      <c r="X7" s="1128">
        <f t="shared" si="1"/>
        <v>10.999999999999993</v>
      </c>
      <c r="Y7" s="1128">
        <f t="shared" si="1"/>
        <v>0</v>
      </c>
      <c r="Z7" s="1128">
        <f t="shared" si="2"/>
        <v>0.99999999999999944</v>
      </c>
      <c r="AA7" s="1128">
        <f t="shared" si="2"/>
        <v>0</v>
      </c>
      <c r="AB7" s="1128">
        <f t="shared" si="3"/>
        <v>54.000000000000099</v>
      </c>
      <c r="AC7" s="1128">
        <f t="shared" si="3"/>
        <v>0</v>
      </c>
      <c r="AD7" s="1128">
        <f t="shared" si="4"/>
        <v>26.000000000000089</v>
      </c>
      <c r="AE7" s="1128">
        <f t="shared" si="4"/>
        <v>0</v>
      </c>
      <c r="AF7" s="1128">
        <f t="shared" si="5"/>
        <v>8</v>
      </c>
      <c r="AG7" s="1128">
        <f t="shared" si="5"/>
        <v>0</v>
      </c>
      <c r="AH7" s="1128">
        <f t="shared" si="6"/>
        <v>9.9999999999999947</v>
      </c>
      <c r="AI7" s="1128">
        <f t="shared" si="6"/>
        <v>0</v>
      </c>
      <c r="AL7" s="1128">
        <v>0.141975308641975</v>
      </c>
      <c r="AM7" s="1128">
        <v>0</v>
      </c>
      <c r="AO7">
        <f t="shared" si="7"/>
        <v>26.691358024691301</v>
      </c>
      <c r="AP7">
        <f t="shared" si="7"/>
        <v>0</v>
      </c>
      <c r="AS7" s="309">
        <v>0.154255319148936</v>
      </c>
      <c r="AT7" s="309">
        <v>0</v>
      </c>
      <c r="AU7" s="309">
        <f t="shared" si="8"/>
        <v>5.4255319148935999E-2</v>
      </c>
      <c r="AV7" s="1142">
        <f t="shared" si="8"/>
        <v>-0.1</v>
      </c>
      <c r="AX7">
        <f t="shared" si="9"/>
        <v>10.199999999999967</v>
      </c>
      <c r="AY7">
        <f t="shared" si="9"/>
        <v>0</v>
      </c>
      <c r="BA7" s="1128">
        <v>1.5625E-2</v>
      </c>
      <c r="BC7">
        <f t="shared" si="10"/>
        <v>2.9375</v>
      </c>
      <c r="BF7">
        <v>0</v>
      </c>
      <c r="BG7" s="1128"/>
    </row>
    <row r="8" spans="1:59" x14ac:dyDescent="0.2">
      <c r="A8" s="197" t="s">
        <v>49</v>
      </c>
      <c r="B8" s="1126">
        <v>2005</v>
      </c>
      <c r="C8" s="1127">
        <v>300</v>
      </c>
      <c r="D8" s="1127">
        <v>0</v>
      </c>
      <c r="E8" s="1128">
        <v>0.54333333333333322</v>
      </c>
      <c r="F8" s="1128">
        <v>0</v>
      </c>
      <c r="G8" s="1128">
        <f t="shared" si="0"/>
        <v>162.99999999999997</v>
      </c>
      <c r="H8" s="1128">
        <f t="shared" si="0"/>
        <v>0</v>
      </c>
      <c r="K8" s="1128">
        <v>5.7046979865771799E-2</v>
      </c>
      <c r="L8" s="1128">
        <v>0</v>
      </c>
      <c r="M8" s="1128">
        <v>0.26174496644295298</v>
      </c>
      <c r="N8" s="1128">
        <v>0</v>
      </c>
      <c r="O8" s="1128">
        <v>0.365771812080537</v>
      </c>
      <c r="P8" s="1128">
        <v>0</v>
      </c>
      <c r="Q8" s="1128">
        <v>0.17114093959731499</v>
      </c>
      <c r="R8" s="1128">
        <v>0</v>
      </c>
      <c r="S8" s="1128">
        <v>0.10402684563758401</v>
      </c>
      <c r="T8" s="1128">
        <v>0</v>
      </c>
      <c r="U8" s="1128">
        <v>3.3557046979865801E-3</v>
      </c>
      <c r="V8" s="1128">
        <v>0</v>
      </c>
      <c r="X8" s="1128">
        <f t="shared" si="1"/>
        <v>17.114093959731541</v>
      </c>
      <c r="Y8" s="1128">
        <f t="shared" si="1"/>
        <v>0</v>
      </c>
      <c r="Z8" s="1128">
        <f t="shared" si="2"/>
        <v>78.523489932885894</v>
      </c>
      <c r="AA8" s="1128">
        <f t="shared" si="2"/>
        <v>0</v>
      </c>
      <c r="AB8" s="1128">
        <f t="shared" si="3"/>
        <v>109.73154362416111</v>
      </c>
      <c r="AC8" s="1128">
        <f t="shared" si="3"/>
        <v>0</v>
      </c>
      <c r="AD8" s="1128">
        <f t="shared" si="4"/>
        <v>51.342281879194502</v>
      </c>
      <c r="AE8" s="1128">
        <f t="shared" si="4"/>
        <v>0</v>
      </c>
      <c r="AF8" s="1128">
        <f t="shared" si="5"/>
        <v>31.2080536912752</v>
      </c>
      <c r="AG8" s="1128">
        <f t="shared" si="5"/>
        <v>0</v>
      </c>
      <c r="AH8" s="1128">
        <f t="shared" si="6"/>
        <v>1.0067114093959741</v>
      </c>
      <c r="AI8" s="1128">
        <f t="shared" si="6"/>
        <v>0</v>
      </c>
      <c r="AL8" s="1128">
        <v>6.88259109311741E-2</v>
      </c>
      <c r="AM8" s="1128">
        <v>0</v>
      </c>
      <c r="AO8">
        <f t="shared" si="7"/>
        <v>20.647773279352229</v>
      </c>
      <c r="AP8">
        <f t="shared" si="7"/>
        <v>0</v>
      </c>
      <c r="AS8" s="309">
        <v>0.123333333333333</v>
      </c>
      <c r="AT8" s="309">
        <v>0</v>
      </c>
      <c r="AU8" s="309">
        <f t="shared" si="8"/>
        <v>2.3333333333332998E-2</v>
      </c>
      <c r="AV8" s="1142">
        <f t="shared" si="8"/>
        <v>-0.1</v>
      </c>
      <c r="AX8">
        <f t="shared" si="9"/>
        <v>6.9999999999998996</v>
      </c>
      <c r="AY8">
        <f t="shared" si="9"/>
        <v>0</v>
      </c>
      <c r="BA8" s="1128">
        <v>6.6666666666666671E-3</v>
      </c>
      <c r="BC8">
        <f t="shared" si="10"/>
        <v>2</v>
      </c>
      <c r="BF8">
        <v>0</v>
      </c>
      <c r="BG8" s="1128"/>
    </row>
    <row r="9" spans="1:59" x14ac:dyDescent="0.2">
      <c r="A9" s="197" t="s">
        <v>50</v>
      </c>
      <c r="B9" s="1126">
        <v>2464</v>
      </c>
      <c r="C9" s="1127">
        <v>186</v>
      </c>
      <c r="D9" s="1127">
        <v>0</v>
      </c>
      <c r="E9" s="1128">
        <v>0.35087719298245607</v>
      </c>
      <c r="F9" s="1128">
        <v>0</v>
      </c>
      <c r="G9" s="1128">
        <f t="shared" si="0"/>
        <v>65.263157894736821</v>
      </c>
      <c r="H9" s="1128">
        <f t="shared" si="0"/>
        <v>0</v>
      </c>
      <c r="K9" s="1128">
        <v>0.241935483870968</v>
      </c>
      <c r="L9" s="1128">
        <v>0</v>
      </c>
      <c r="M9" s="1128">
        <v>0.58064516129032295</v>
      </c>
      <c r="N9" s="1128">
        <v>0</v>
      </c>
      <c r="O9" s="1128">
        <v>1.0752688172042999E-2</v>
      </c>
      <c r="P9" s="1128">
        <v>0</v>
      </c>
      <c r="Q9" s="1128">
        <v>5.3763440860215101E-3</v>
      </c>
      <c r="R9" s="1128">
        <v>0</v>
      </c>
      <c r="S9" s="1128">
        <v>1.0752688172042999E-2</v>
      </c>
      <c r="T9" s="1128">
        <v>0</v>
      </c>
      <c r="U9" s="1128">
        <v>0</v>
      </c>
      <c r="V9" s="1128">
        <v>0</v>
      </c>
      <c r="X9" s="1128">
        <f t="shared" si="1"/>
        <v>45.00000000000005</v>
      </c>
      <c r="Y9" s="1128">
        <f t="shared" si="1"/>
        <v>0</v>
      </c>
      <c r="Z9" s="1128">
        <f t="shared" si="2"/>
        <v>108.00000000000007</v>
      </c>
      <c r="AA9" s="1128">
        <f t="shared" si="2"/>
        <v>0</v>
      </c>
      <c r="AB9" s="1128">
        <f t="shared" si="3"/>
        <v>1.999999999999998</v>
      </c>
      <c r="AC9" s="1128">
        <f t="shared" si="3"/>
        <v>0</v>
      </c>
      <c r="AD9" s="1128">
        <f t="shared" si="4"/>
        <v>1.0000000000000009</v>
      </c>
      <c r="AE9" s="1128">
        <f t="shared" si="4"/>
        <v>0</v>
      </c>
      <c r="AF9" s="1128">
        <f t="shared" si="5"/>
        <v>1.999999999999998</v>
      </c>
      <c r="AG9" s="1128">
        <f t="shared" si="5"/>
        <v>0</v>
      </c>
      <c r="AH9" s="1128">
        <f t="shared" si="6"/>
        <v>0</v>
      </c>
      <c r="AI9" s="1128">
        <f t="shared" si="6"/>
        <v>0</v>
      </c>
      <c r="AL9" s="1128">
        <v>6.4516129032258099E-3</v>
      </c>
      <c r="AM9" s="1128">
        <v>0</v>
      </c>
      <c r="AO9">
        <f t="shared" si="7"/>
        <v>1.2000000000000006</v>
      </c>
      <c r="AP9">
        <f t="shared" si="7"/>
        <v>0</v>
      </c>
      <c r="AS9" s="309">
        <v>8.0645161290322606E-2</v>
      </c>
      <c r="AT9" s="309">
        <v>0</v>
      </c>
      <c r="AU9" s="309">
        <f t="shared" si="8"/>
        <v>-1.9354838709677399E-2</v>
      </c>
      <c r="AV9" s="1142">
        <f t="shared" si="8"/>
        <v>-0.1</v>
      </c>
      <c r="AX9">
        <f t="shared" si="9"/>
        <v>0</v>
      </c>
      <c r="AY9">
        <f t="shared" si="9"/>
        <v>0</v>
      </c>
      <c r="BA9" s="1128">
        <v>5.8479532163742687E-3</v>
      </c>
      <c r="BC9">
        <f t="shared" si="10"/>
        <v>1.0877192982456139</v>
      </c>
      <c r="BF9">
        <v>0</v>
      </c>
      <c r="BG9" s="1128"/>
    </row>
    <row r="10" spans="1:59" x14ac:dyDescent="0.2">
      <c r="A10" s="197" t="s">
        <v>51</v>
      </c>
      <c r="B10" s="1126">
        <v>2004</v>
      </c>
      <c r="C10" s="1127">
        <v>265</v>
      </c>
      <c r="D10" s="1127">
        <v>0</v>
      </c>
      <c r="E10" s="1128">
        <v>0.64372469635627527</v>
      </c>
      <c r="F10" s="1128">
        <v>0</v>
      </c>
      <c r="G10" s="1128">
        <f t="shared" si="0"/>
        <v>170.58704453441294</v>
      </c>
      <c r="H10" s="1128">
        <f t="shared" si="0"/>
        <v>0</v>
      </c>
      <c r="K10" s="1128">
        <v>7.9847908745247206E-2</v>
      </c>
      <c r="L10" s="1128">
        <v>0</v>
      </c>
      <c r="M10" s="1128">
        <v>6.84410646387833E-2</v>
      </c>
      <c r="N10" s="1128">
        <v>0</v>
      </c>
      <c r="O10" s="1128">
        <v>8.3650190114068407E-2</v>
      </c>
      <c r="P10" s="1128">
        <v>0</v>
      </c>
      <c r="Q10" s="1128">
        <v>1.9011406844106502E-2</v>
      </c>
      <c r="R10" s="1128">
        <v>0</v>
      </c>
      <c r="S10" s="1128">
        <v>0.67300380228136902</v>
      </c>
      <c r="T10" s="1128">
        <v>0</v>
      </c>
      <c r="U10" s="1128">
        <v>1.14068441064639E-2</v>
      </c>
      <c r="V10" s="1128">
        <v>0</v>
      </c>
      <c r="X10" s="1128">
        <f t="shared" si="1"/>
        <v>21.159695817490508</v>
      </c>
      <c r="Y10" s="1128">
        <f t="shared" si="1"/>
        <v>0</v>
      </c>
      <c r="Z10" s="1128">
        <f t="shared" si="2"/>
        <v>18.136882129277573</v>
      </c>
      <c r="AA10" s="1128">
        <f t="shared" si="2"/>
        <v>0</v>
      </c>
      <c r="AB10" s="1128">
        <f t="shared" si="3"/>
        <v>22.167300380228127</v>
      </c>
      <c r="AC10" s="1128">
        <f t="shared" si="3"/>
        <v>0</v>
      </c>
      <c r="AD10" s="1128">
        <f t="shared" si="4"/>
        <v>5.0380228136882232</v>
      </c>
      <c r="AE10" s="1128">
        <f t="shared" si="4"/>
        <v>0</v>
      </c>
      <c r="AF10" s="1128">
        <f t="shared" si="5"/>
        <v>178.3460076045628</v>
      </c>
      <c r="AG10" s="1128">
        <f t="shared" si="5"/>
        <v>0</v>
      </c>
      <c r="AH10" s="1128">
        <f t="shared" si="6"/>
        <v>3.0228136882129335</v>
      </c>
      <c r="AI10" s="1128">
        <f t="shared" si="6"/>
        <v>0</v>
      </c>
      <c r="AL10" s="1128">
        <v>1.3824884792626699E-2</v>
      </c>
      <c r="AM10" s="1128">
        <v>0</v>
      </c>
      <c r="AO10">
        <f t="shared" si="7"/>
        <v>3.6635944700460752</v>
      </c>
      <c r="AP10">
        <f t="shared" si="7"/>
        <v>0</v>
      </c>
      <c r="AS10" s="309">
        <v>0.128301886792453</v>
      </c>
      <c r="AT10" s="309">
        <v>0</v>
      </c>
      <c r="AU10" s="309">
        <f t="shared" si="8"/>
        <v>2.830188679245299E-2</v>
      </c>
      <c r="AV10" s="1142">
        <f t="shared" si="8"/>
        <v>-0.1</v>
      </c>
      <c r="AX10">
        <f t="shared" si="9"/>
        <v>7.5000000000000426</v>
      </c>
      <c r="AY10">
        <f t="shared" si="9"/>
        <v>0</v>
      </c>
      <c r="BA10" s="1128">
        <v>8.0971659919028341E-3</v>
      </c>
      <c r="BC10">
        <f t="shared" si="10"/>
        <v>2.1457489878542511</v>
      </c>
      <c r="BF10">
        <v>0</v>
      </c>
      <c r="BG10" s="1128"/>
    </row>
    <row r="11" spans="1:59" x14ac:dyDescent="0.2">
      <c r="A11" s="197" t="s">
        <v>52</v>
      </c>
      <c r="B11" s="1126">
        <v>2405</v>
      </c>
      <c r="C11" s="1127">
        <v>196</v>
      </c>
      <c r="D11" s="1127">
        <v>0</v>
      </c>
      <c r="E11" s="1128">
        <v>0.54497354497354467</v>
      </c>
      <c r="F11" s="1128">
        <v>0</v>
      </c>
      <c r="G11" s="1128">
        <f t="shared" si="0"/>
        <v>106.81481481481475</v>
      </c>
      <c r="H11" s="1128">
        <f t="shared" si="0"/>
        <v>0</v>
      </c>
      <c r="K11" s="1128">
        <v>9.9009900990098994E-3</v>
      </c>
      <c r="L11" s="1128">
        <v>0</v>
      </c>
      <c r="M11" s="1128">
        <v>0.173267326732673</v>
      </c>
      <c r="N11" s="1128">
        <v>0</v>
      </c>
      <c r="O11" s="1128">
        <v>0.53465346534653502</v>
      </c>
      <c r="P11" s="1128">
        <v>0</v>
      </c>
      <c r="Q11" s="1128">
        <v>2.9702970297029702E-2</v>
      </c>
      <c r="R11" s="1128">
        <v>0</v>
      </c>
      <c r="S11" s="1128">
        <v>0.21782178217821799</v>
      </c>
      <c r="T11" s="1128">
        <v>0</v>
      </c>
      <c r="U11" s="1128">
        <v>1.9801980198019799E-2</v>
      </c>
      <c r="V11" s="1128">
        <v>0</v>
      </c>
      <c r="X11" s="1128">
        <f t="shared" si="1"/>
        <v>1.9405940594059403</v>
      </c>
      <c r="Y11" s="1128">
        <f t="shared" si="1"/>
        <v>0</v>
      </c>
      <c r="Z11" s="1128">
        <f t="shared" si="2"/>
        <v>33.960396039603907</v>
      </c>
      <c r="AA11" s="1128">
        <f t="shared" si="2"/>
        <v>0</v>
      </c>
      <c r="AB11" s="1128">
        <f t="shared" si="3"/>
        <v>104.79207920792086</v>
      </c>
      <c r="AC11" s="1128">
        <f t="shared" si="3"/>
        <v>0</v>
      </c>
      <c r="AD11" s="1128">
        <f t="shared" si="4"/>
        <v>5.8217821782178216</v>
      </c>
      <c r="AE11" s="1128">
        <f t="shared" si="4"/>
        <v>0</v>
      </c>
      <c r="AF11" s="1128">
        <f t="shared" si="5"/>
        <v>42.693069306930724</v>
      </c>
      <c r="AG11" s="1128">
        <f t="shared" si="5"/>
        <v>0</v>
      </c>
      <c r="AH11" s="1128">
        <f t="shared" si="6"/>
        <v>3.8811881188118806</v>
      </c>
      <c r="AI11" s="1128">
        <f t="shared" si="6"/>
        <v>0</v>
      </c>
      <c r="AL11" s="1128">
        <v>0.233918128654971</v>
      </c>
      <c r="AM11" s="1128">
        <v>0</v>
      </c>
      <c r="AO11">
        <f t="shared" si="7"/>
        <v>45.847953216374314</v>
      </c>
      <c r="AP11">
        <f t="shared" si="7"/>
        <v>0</v>
      </c>
      <c r="AS11" s="309">
        <v>0.133663366336634</v>
      </c>
      <c r="AT11" s="309">
        <v>0</v>
      </c>
      <c r="AU11" s="309">
        <f t="shared" si="8"/>
        <v>3.3663366336633999E-2</v>
      </c>
      <c r="AV11" s="1142">
        <f t="shared" si="8"/>
        <v>-0.1</v>
      </c>
      <c r="AX11">
        <f t="shared" si="9"/>
        <v>6.5980198019802634</v>
      </c>
      <c r="AY11">
        <f t="shared" si="9"/>
        <v>0</v>
      </c>
      <c r="BA11" s="1128">
        <v>5.2910052910052907E-3</v>
      </c>
      <c r="BC11">
        <f t="shared" si="10"/>
        <v>1.037037037037037</v>
      </c>
      <c r="BF11">
        <v>0</v>
      </c>
      <c r="BG11" s="1128"/>
    </row>
    <row r="12" spans="1:59" x14ac:dyDescent="0.2">
      <c r="A12" s="197" t="s">
        <v>156</v>
      </c>
      <c r="B12" s="1126">
        <v>3525</v>
      </c>
      <c r="C12" s="1127">
        <v>209</v>
      </c>
      <c r="D12" s="1127">
        <v>0</v>
      </c>
      <c r="E12" s="1128">
        <v>0.3267326732673268</v>
      </c>
      <c r="F12" s="1128">
        <v>0</v>
      </c>
      <c r="G12" s="1128">
        <f t="shared" si="0"/>
        <v>68.287128712871308</v>
      </c>
      <c r="H12" s="1128">
        <f t="shared" si="0"/>
        <v>0</v>
      </c>
      <c r="K12" s="1128">
        <v>0</v>
      </c>
      <c r="L12" s="1128">
        <v>0</v>
      </c>
      <c r="M12" s="1128">
        <v>0.43540669856459302</v>
      </c>
      <c r="N12" s="1128">
        <v>0</v>
      </c>
      <c r="O12" s="1128">
        <v>0.301435406698565</v>
      </c>
      <c r="P12" s="1128">
        <v>0</v>
      </c>
      <c r="Q12" s="1128">
        <v>5.2631578947368397E-2</v>
      </c>
      <c r="R12" s="1128">
        <v>0</v>
      </c>
      <c r="S12" s="1128">
        <v>7.1770334928229707E-2</v>
      </c>
      <c r="T12" s="1128">
        <v>0</v>
      </c>
      <c r="U12" s="1128">
        <v>4.78468899521531E-3</v>
      </c>
      <c r="V12" s="1128">
        <v>0</v>
      </c>
      <c r="X12" s="1128">
        <f t="shared" si="1"/>
        <v>0</v>
      </c>
      <c r="Y12" s="1128">
        <f t="shared" si="1"/>
        <v>0</v>
      </c>
      <c r="Z12" s="1128">
        <f t="shared" si="2"/>
        <v>90.999999999999943</v>
      </c>
      <c r="AA12" s="1128">
        <f t="shared" si="2"/>
        <v>0</v>
      </c>
      <c r="AB12" s="1128">
        <f t="shared" si="3"/>
        <v>63.000000000000085</v>
      </c>
      <c r="AC12" s="1128">
        <f t="shared" si="3"/>
        <v>0</v>
      </c>
      <c r="AD12" s="1128">
        <f t="shared" si="4"/>
        <v>10.999999999999995</v>
      </c>
      <c r="AE12" s="1128">
        <f t="shared" si="4"/>
        <v>0</v>
      </c>
      <c r="AF12" s="1128">
        <f t="shared" si="5"/>
        <v>15.000000000000009</v>
      </c>
      <c r="AG12" s="1128">
        <f t="shared" si="5"/>
        <v>0</v>
      </c>
      <c r="AH12" s="1128">
        <f t="shared" si="6"/>
        <v>0.99999999999999978</v>
      </c>
      <c r="AI12" s="1128">
        <f t="shared" si="6"/>
        <v>0</v>
      </c>
      <c r="AL12" s="1128">
        <v>7.2625698324022395E-2</v>
      </c>
      <c r="AM12" s="1128">
        <v>0</v>
      </c>
      <c r="AO12">
        <f t="shared" si="7"/>
        <v>15.178770949720681</v>
      </c>
      <c r="AP12">
        <f t="shared" si="7"/>
        <v>0</v>
      </c>
      <c r="AS12" s="309">
        <v>5.2631578947368397E-2</v>
      </c>
      <c r="AT12" s="309">
        <v>0</v>
      </c>
      <c r="AU12" s="309">
        <f t="shared" si="8"/>
        <v>-4.7368421052631608E-2</v>
      </c>
      <c r="AV12" s="1142">
        <f t="shared" si="8"/>
        <v>-0.1</v>
      </c>
      <c r="AX12">
        <f t="shared" si="9"/>
        <v>0</v>
      </c>
      <c r="AY12">
        <f t="shared" si="9"/>
        <v>0</v>
      </c>
      <c r="BA12" s="1128">
        <v>0</v>
      </c>
      <c r="BC12">
        <f t="shared" si="10"/>
        <v>0</v>
      </c>
      <c r="BF12">
        <v>0</v>
      </c>
      <c r="BG12" s="1128"/>
    </row>
    <row r="13" spans="1:59" x14ac:dyDescent="0.2">
      <c r="A13" s="197" t="s">
        <v>54</v>
      </c>
      <c r="B13" s="1126">
        <v>5201</v>
      </c>
      <c r="C13" s="1127">
        <v>392</v>
      </c>
      <c r="D13" s="1127">
        <v>0</v>
      </c>
      <c r="E13" s="1128">
        <v>0.13947368421052628</v>
      </c>
      <c r="F13" s="1128">
        <v>0</v>
      </c>
      <c r="G13" s="1128">
        <f t="shared" si="0"/>
        <v>54.673684210526304</v>
      </c>
      <c r="H13" s="1128">
        <f t="shared" si="0"/>
        <v>0</v>
      </c>
      <c r="K13" s="1128">
        <v>6.6496163682864498E-2</v>
      </c>
      <c r="L13" s="1128">
        <v>0</v>
      </c>
      <c r="M13" s="1128">
        <v>0.21994884910485901</v>
      </c>
      <c r="N13" s="1128">
        <v>0</v>
      </c>
      <c r="O13" s="1128">
        <v>3.0690537084398999E-2</v>
      </c>
      <c r="P13" s="1128">
        <v>0</v>
      </c>
      <c r="Q13" s="1128">
        <v>7.6726342710997401E-3</v>
      </c>
      <c r="R13" s="1128">
        <v>0</v>
      </c>
      <c r="S13" s="1128">
        <v>2.55754475703325E-3</v>
      </c>
      <c r="T13" s="1128">
        <v>0</v>
      </c>
      <c r="U13" s="1128">
        <v>2.55754475703325E-3</v>
      </c>
      <c r="V13" s="1128">
        <v>0</v>
      </c>
      <c r="X13" s="1128">
        <f t="shared" si="1"/>
        <v>26.066496163682885</v>
      </c>
      <c r="Y13" s="1128">
        <f t="shared" si="1"/>
        <v>0</v>
      </c>
      <c r="Z13" s="1128">
        <f t="shared" si="2"/>
        <v>86.219948849104739</v>
      </c>
      <c r="AA13" s="1128">
        <f t="shared" si="2"/>
        <v>0</v>
      </c>
      <c r="AB13" s="1128">
        <f t="shared" si="3"/>
        <v>12.030690537084407</v>
      </c>
      <c r="AC13" s="1128">
        <f t="shared" si="3"/>
        <v>0</v>
      </c>
      <c r="AD13" s="1128">
        <f t="shared" si="4"/>
        <v>3.0076726342710982</v>
      </c>
      <c r="AE13" s="1128">
        <f t="shared" si="4"/>
        <v>0</v>
      </c>
      <c r="AF13" s="1128">
        <f t="shared" si="5"/>
        <v>1.0025575447570341</v>
      </c>
      <c r="AG13" s="1128">
        <f t="shared" si="5"/>
        <v>0</v>
      </c>
      <c r="AH13" s="1128">
        <f t="shared" si="6"/>
        <v>1.0025575447570341</v>
      </c>
      <c r="AI13" s="1128">
        <f t="shared" si="6"/>
        <v>0</v>
      </c>
      <c r="AL13" s="1128">
        <v>0</v>
      </c>
      <c r="AM13" s="1128">
        <v>0</v>
      </c>
      <c r="AO13">
        <f t="shared" si="7"/>
        <v>0</v>
      </c>
      <c r="AP13">
        <f t="shared" si="7"/>
        <v>0</v>
      </c>
      <c r="AS13" s="309">
        <v>4.3367346938775503E-2</v>
      </c>
      <c r="AT13" s="309">
        <v>0</v>
      </c>
      <c r="AU13" s="309">
        <f t="shared" si="8"/>
        <v>-5.6632653061224503E-2</v>
      </c>
      <c r="AV13" s="1142">
        <f t="shared" si="8"/>
        <v>-0.1</v>
      </c>
      <c r="AX13">
        <f t="shared" si="9"/>
        <v>0</v>
      </c>
      <c r="AY13">
        <f t="shared" si="9"/>
        <v>0</v>
      </c>
      <c r="BA13" s="1128">
        <v>0</v>
      </c>
      <c r="BC13">
        <f t="shared" si="10"/>
        <v>0</v>
      </c>
      <c r="BF13">
        <v>0</v>
      </c>
      <c r="BG13" s="1128"/>
    </row>
    <row r="14" spans="1:59" x14ac:dyDescent="0.2">
      <c r="A14" s="197" t="s">
        <v>56</v>
      </c>
      <c r="B14" s="1126">
        <v>2433</v>
      </c>
      <c r="C14" s="1127">
        <v>169</v>
      </c>
      <c r="D14" s="1127">
        <v>0</v>
      </c>
      <c r="E14" s="1128">
        <v>0.40000000000000019</v>
      </c>
      <c r="F14" s="1128">
        <v>0</v>
      </c>
      <c r="G14" s="1128">
        <f t="shared" si="0"/>
        <v>67.600000000000037</v>
      </c>
      <c r="H14" s="1128">
        <f t="shared" si="0"/>
        <v>0</v>
      </c>
      <c r="K14" s="1128">
        <v>0.16145833333333301</v>
      </c>
      <c r="L14" s="1128">
        <v>0</v>
      </c>
      <c r="M14" s="1128">
        <v>0.22916666666666699</v>
      </c>
      <c r="N14" s="1128">
        <v>0</v>
      </c>
      <c r="O14" s="1128">
        <v>0.30729166666666702</v>
      </c>
      <c r="P14" s="1128">
        <v>0</v>
      </c>
      <c r="Q14" s="1128">
        <v>7.2916666666666699E-2</v>
      </c>
      <c r="R14" s="1128">
        <v>0</v>
      </c>
      <c r="S14" s="1128">
        <v>0.140625</v>
      </c>
      <c r="T14" s="1128">
        <v>0</v>
      </c>
      <c r="U14" s="1128">
        <v>1.5625E-2</v>
      </c>
      <c r="V14" s="1128">
        <v>0</v>
      </c>
      <c r="X14" s="1128">
        <f t="shared" si="1"/>
        <v>27.286458333333279</v>
      </c>
      <c r="Y14" s="1128">
        <f t="shared" si="1"/>
        <v>0</v>
      </c>
      <c r="Z14" s="1128">
        <f t="shared" si="2"/>
        <v>38.729166666666721</v>
      </c>
      <c r="AA14" s="1128">
        <f t="shared" si="2"/>
        <v>0</v>
      </c>
      <c r="AB14" s="1128">
        <f t="shared" si="3"/>
        <v>51.932291666666728</v>
      </c>
      <c r="AC14" s="1128">
        <f t="shared" si="3"/>
        <v>0</v>
      </c>
      <c r="AD14" s="1128">
        <f t="shared" si="4"/>
        <v>12.322916666666671</v>
      </c>
      <c r="AE14" s="1128">
        <f t="shared" si="4"/>
        <v>0</v>
      </c>
      <c r="AF14" s="1128">
        <f t="shared" si="5"/>
        <v>23.765625</v>
      </c>
      <c r="AG14" s="1128">
        <f t="shared" si="5"/>
        <v>0</v>
      </c>
      <c r="AH14" s="1128">
        <f t="shared" si="6"/>
        <v>2.640625</v>
      </c>
      <c r="AI14" s="1128">
        <f t="shared" si="6"/>
        <v>0</v>
      </c>
      <c r="AL14" s="1128">
        <v>7.8740157480315001E-2</v>
      </c>
      <c r="AM14" s="1128">
        <v>0</v>
      </c>
      <c r="AO14">
        <f t="shared" si="7"/>
        <v>13.307086614173235</v>
      </c>
      <c r="AP14">
        <f t="shared" si="7"/>
        <v>0</v>
      </c>
      <c r="AS14" s="309">
        <v>6.7708333333333301E-2</v>
      </c>
      <c r="AT14" s="309">
        <v>0</v>
      </c>
      <c r="AU14" s="309">
        <f t="shared" si="8"/>
        <v>-3.2291666666666705E-2</v>
      </c>
      <c r="AV14" s="1142">
        <f t="shared" si="8"/>
        <v>-0.1</v>
      </c>
      <c r="AX14">
        <f t="shared" si="9"/>
        <v>0</v>
      </c>
      <c r="AY14">
        <f t="shared" si="9"/>
        <v>0</v>
      </c>
      <c r="BA14" s="1128">
        <v>0</v>
      </c>
      <c r="BC14">
        <f t="shared" si="10"/>
        <v>0</v>
      </c>
      <c r="BF14">
        <v>0</v>
      </c>
      <c r="BG14" s="1128"/>
    </row>
    <row r="15" spans="1:59" x14ac:dyDescent="0.2">
      <c r="A15" s="197" t="s">
        <v>57</v>
      </c>
      <c r="B15" s="1126">
        <v>2432</v>
      </c>
      <c r="C15" s="1127">
        <v>199</v>
      </c>
      <c r="D15" s="1127">
        <v>0</v>
      </c>
      <c r="E15" s="1128">
        <v>0.50840336134453779</v>
      </c>
      <c r="F15" s="1128">
        <v>0</v>
      </c>
      <c r="G15" s="1128">
        <f t="shared" si="0"/>
        <v>101.17226890756302</v>
      </c>
      <c r="H15" s="1128">
        <f t="shared" si="0"/>
        <v>0</v>
      </c>
      <c r="K15" s="1128">
        <v>0.24034334763948501</v>
      </c>
      <c r="L15" s="1128">
        <v>0</v>
      </c>
      <c r="M15" s="1128">
        <v>0.218884120171674</v>
      </c>
      <c r="N15" s="1128">
        <v>0</v>
      </c>
      <c r="O15" s="1128">
        <v>0.248927038626609</v>
      </c>
      <c r="P15" s="1128">
        <v>0</v>
      </c>
      <c r="Q15" s="1128">
        <v>2.14592274678112E-2</v>
      </c>
      <c r="R15" s="1128">
        <v>0</v>
      </c>
      <c r="S15" s="1128">
        <v>0.145922746781116</v>
      </c>
      <c r="T15" s="1128">
        <v>0</v>
      </c>
      <c r="U15" s="1128">
        <v>2.14592274678112E-2</v>
      </c>
      <c r="V15" s="1128">
        <v>0</v>
      </c>
      <c r="X15" s="1128">
        <f t="shared" si="1"/>
        <v>47.828326180257513</v>
      </c>
      <c r="Y15" s="1128">
        <f t="shared" si="1"/>
        <v>0</v>
      </c>
      <c r="Z15" s="1128">
        <f t="shared" si="2"/>
        <v>43.557939914163128</v>
      </c>
      <c r="AA15" s="1128">
        <f t="shared" si="2"/>
        <v>0</v>
      </c>
      <c r="AB15" s="1128">
        <f t="shared" si="3"/>
        <v>49.536480686695192</v>
      </c>
      <c r="AC15" s="1128">
        <f t="shared" si="3"/>
        <v>0</v>
      </c>
      <c r="AD15" s="1128">
        <f t="shared" si="4"/>
        <v>4.2703862660944285</v>
      </c>
      <c r="AE15" s="1128">
        <f t="shared" si="4"/>
        <v>0</v>
      </c>
      <c r="AF15" s="1128">
        <f t="shared" si="5"/>
        <v>29.038626609442083</v>
      </c>
      <c r="AG15" s="1128">
        <f t="shared" si="5"/>
        <v>0</v>
      </c>
      <c r="AH15" s="1128">
        <f t="shared" si="6"/>
        <v>4.2703862660944285</v>
      </c>
      <c r="AI15" s="1128">
        <f t="shared" si="6"/>
        <v>0</v>
      </c>
      <c r="AL15" s="1128">
        <v>4.3290043290043299E-3</v>
      </c>
      <c r="AM15" s="1128">
        <v>0</v>
      </c>
      <c r="AO15">
        <f t="shared" si="7"/>
        <v>0.86147186147186161</v>
      </c>
      <c r="AP15">
        <f t="shared" si="7"/>
        <v>0</v>
      </c>
      <c r="AS15" s="309">
        <v>7.7253218884120206E-2</v>
      </c>
      <c r="AT15" s="309">
        <v>0</v>
      </c>
      <c r="AU15" s="309">
        <f t="shared" si="8"/>
        <v>-2.2746781115879799E-2</v>
      </c>
      <c r="AV15" s="1142">
        <f t="shared" si="8"/>
        <v>-0.1</v>
      </c>
      <c r="AX15">
        <f t="shared" si="9"/>
        <v>0</v>
      </c>
      <c r="AY15">
        <f t="shared" si="9"/>
        <v>0</v>
      </c>
      <c r="BA15" s="1128">
        <v>8.4033613445378148E-3</v>
      </c>
      <c r="BC15">
        <f t="shared" si="10"/>
        <v>1.672268907563025</v>
      </c>
      <c r="BF15">
        <v>0</v>
      </c>
      <c r="BG15" s="1128"/>
    </row>
    <row r="16" spans="1:59" x14ac:dyDescent="0.2">
      <c r="A16" s="197" t="s">
        <v>58</v>
      </c>
      <c r="B16" s="1126">
        <v>2446</v>
      </c>
      <c r="C16" s="1127">
        <v>177</v>
      </c>
      <c r="D16" s="1127">
        <v>0</v>
      </c>
      <c r="E16" s="1128">
        <v>0.31578947368421056</v>
      </c>
      <c r="F16" s="1128">
        <v>0</v>
      </c>
      <c r="G16" s="1128">
        <f t="shared" si="0"/>
        <v>55.894736842105267</v>
      </c>
      <c r="H16" s="1128">
        <f t="shared" si="0"/>
        <v>0</v>
      </c>
      <c r="K16" s="1128">
        <v>0.17613636363636401</v>
      </c>
      <c r="L16" s="1128">
        <v>0</v>
      </c>
      <c r="M16" s="1128">
        <v>0.25568181818181801</v>
      </c>
      <c r="N16" s="1128">
        <v>0</v>
      </c>
      <c r="O16" s="1128">
        <v>1.13636363636364E-2</v>
      </c>
      <c r="P16" s="1128">
        <v>0</v>
      </c>
      <c r="Q16" s="1128">
        <v>0.15340909090909099</v>
      </c>
      <c r="R16" s="1128">
        <v>0</v>
      </c>
      <c r="S16" s="1128">
        <v>0.13636363636363599</v>
      </c>
      <c r="T16" s="1128">
        <v>0</v>
      </c>
      <c r="U16" s="1128">
        <v>5.6818181818181802E-3</v>
      </c>
      <c r="V16" s="1128">
        <v>0</v>
      </c>
      <c r="X16" s="1128">
        <f t="shared" si="1"/>
        <v>31.176136363636431</v>
      </c>
      <c r="Y16" s="1128">
        <f t="shared" si="1"/>
        <v>0</v>
      </c>
      <c r="Z16" s="1128">
        <f t="shared" si="2"/>
        <v>45.255681818181785</v>
      </c>
      <c r="AA16" s="1128">
        <f t="shared" si="2"/>
        <v>0</v>
      </c>
      <c r="AB16" s="1128">
        <f t="shared" si="3"/>
        <v>2.0113636363636429</v>
      </c>
      <c r="AC16" s="1128">
        <f t="shared" si="3"/>
        <v>0</v>
      </c>
      <c r="AD16" s="1128">
        <f t="shared" si="4"/>
        <v>27.153409090909108</v>
      </c>
      <c r="AE16" s="1128">
        <f t="shared" si="4"/>
        <v>0</v>
      </c>
      <c r="AF16" s="1128">
        <f t="shared" si="5"/>
        <v>24.136363636363569</v>
      </c>
      <c r="AG16" s="1128">
        <f t="shared" si="5"/>
        <v>0</v>
      </c>
      <c r="AH16" s="1128">
        <f t="shared" si="6"/>
        <v>1.0056818181818179</v>
      </c>
      <c r="AI16" s="1128">
        <f t="shared" si="6"/>
        <v>0</v>
      </c>
      <c r="AL16" s="1128">
        <v>7.8947368421052599E-2</v>
      </c>
      <c r="AM16" s="1128">
        <v>0</v>
      </c>
      <c r="AO16">
        <f t="shared" si="7"/>
        <v>13.97368421052631</v>
      </c>
      <c r="AP16">
        <f t="shared" si="7"/>
        <v>0</v>
      </c>
      <c r="AS16" s="309">
        <v>2.82485875706215E-2</v>
      </c>
      <c r="AT16" s="309">
        <v>0</v>
      </c>
      <c r="AU16" s="309">
        <f t="shared" si="8"/>
        <v>-7.1751412429378505E-2</v>
      </c>
      <c r="AV16" s="1142">
        <f t="shared" si="8"/>
        <v>-0.1</v>
      </c>
      <c r="AX16">
        <f t="shared" si="9"/>
        <v>0</v>
      </c>
      <c r="AY16">
        <f t="shared" si="9"/>
        <v>0</v>
      </c>
      <c r="BA16" s="1128">
        <v>5.8479532163742687E-3</v>
      </c>
      <c r="BC16">
        <f t="shared" si="10"/>
        <v>1.0350877192982455</v>
      </c>
      <c r="BF16">
        <v>0</v>
      </c>
      <c r="BG16" s="1128"/>
    </row>
    <row r="17" spans="1:59" x14ac:dyDescent="0.2">
      <c r="A17" s="197" t="s">
        <v>59</v>
      </c>
      <c r="B17" s="1126">
        <v>2447</v>
      </c>
      <c r="C17" s="1127">
        <v>225</v>
      </c>
      <c r="D17" s="1127">
        <v>0</v>
      </c>
      <c r="E17" s="1128">
        <v>0.42857142857142855</v>
      </c>
      <c r="F17" s="1128">
        <v>0</v>
      </c>
      <c r="G17" s="1128">
        <f t="shared" si="0"/>
        <v>96.428571428571416</v>
      </c>
      <c r="H17" s="1128">
        <f t="shared" si="0"/>
        <v>0</v>
      </c>
      <c r="K17" s="1128">
        <v>0.20888888888888901</v>
      </c>
      <c r="L17" s="1128">
        <v>0</v>
      </c>
      <c r="M17" s="1128">
        <v>0.23555555555555599</v>
      </c>
      <c r="N17" s="1128">
        <v>0</v>
      </c>
      <c r="O17" s="1128">
        <v>0.04</v>
      </c>
      <c r="P17" s="1128">
        <v>0</v>
      </c>
      <c r="Q17" s="1128">
        <v>0.10222222222222201</v>
      </c>
      <c r="R17" s="1128">
        <v>0</v>
      </c>
      <c r="S17" s="1128">
        <v>0.16</v>
      </c>
      <c r="T17" s="1128">
        <v>0</v>
      </c>
      <c r="U17" s="1128">
        <v>0</v>
      </c>
      <c r="V17" s="1128">
        <v>0</v>
      </c>
      <c r="X17" s="1128">
        <f t="shared" si="1"/>
        <v>47.000000000000028</v>
      </c>
      <c r="Y17" s="1128">
        <f t="shared" si="1"/>
        <v>0</v>
      </c>
      <c r="Z17" s="1128">
        <f t="shared" si="2"/>
        <v>53.000000000000099</v>
      </c>
      <c r="AA17" s="1128">
        <f t="shared" si="2"/>
        <v>0</v>
      </c>
      <c r="AB17" s="1128">
        <f t="shared" si="3"/>
        <v>9</v>
      </c>
      <c r="AC17" s="1128">
        <f t="shared" si="3"/>
        <v>0</v>
      </c>
      <c r="AD17" s="1128">
        <f t="shared" si="4"/>
        <v>22.99999999999995</v>
      </c>
      <c r="AE17" s="1128">
        <f t="shared" si="4"/>
        <v>0</v>
      </c>
      <c r="AF17" s="1128">
        <f t="shared" si="5"/>
        <v>36</v>
      </c>
      <c r="AG17" s="1128">
        <f t="shared" si="5"/>
        <v>0</v>
      </c>
      <c r="AH17" s="1128">
        <f t="shared" si="6"/>
        <v>0</v>
      </c>
      <c r="AI17" s="1128">
        <f t="shared" si="6"/>
        <v>0</v>
      </c>
      <c r="AL17" s="1128">
        <v>4.8888888888888898E-2</v>
      </c>
      <c r="AM17" s="1128">
        <v>0</v>
      </c>
      <c r="AO17">
        <f t="shared" si="7"/>
        <v>11.000000000000002</v>
      </c>
      <c r="AP17">
        <f t="shared" si="7"/>
        <v>0</v>
      </c>
      <c r="AS17" s="309">
        <v>7.1111111111111097E-2</v>
      </c>
      <c r="AT17" s="309">
        <v>0</v>
      </c>
      <c r="AU17" s="309">
        <f t="shared" si="8"/>
        <v>-2.8888888888888908E-2</v>
      </c>
      <c r="AV17" s="1142">
        <f t="shared" si="8"/>
        <v>-0.1</v>
      </c>
      <c r="AX17">
        <f t="shared" si="9"/>
        <v>0</v>
      </c>
      <c r="AY17">
        <f t="shared" si="9"/>
        <v>0</v>
      </c>
      <c r="BA17" s="1128">
        <v>4.7619047619047623E-3</v>
      </c>
      <c r="BC17">
        <f t="shared" si="10"/>
        <v>1.0714285714285716</v>
      </c>
      <c r="BF17">
        <v>0</v>
      </c>
      <c r="BG17" s="1128"/>
    </row>
    <row r="18" spans="1:59" x14ac:dyDescent="0.2">
      <c r="A18" s="197" t="s">
        <v>60</v>
      </c>
      <c r="B18" s="1126">
        <v>2512</v>
      </c>
      <c r="C18" s="1127">
        <v>208</v>
      </c>
      <c r="D18" s="1127">
        <v>0</v>
      </c>
      <c r="E18" s="1128">
        <v>0.1691542288557214</v>
      </c>
      <c r="F18" s="1128">
        <v>0</v>
      </c>
      <c r="G18" s="1128">
        <f t="shared" si="0"/>
        <v>35.184079601990049</v>
      </c>
      <c r="H18" s="1128">
        <f t="shared" si="0"/>
        <v>0</v>
      </c>
      <c r="K18" s="1128">
        <v>0.25</v>
      </c>
      <c r="L18" s="1128">
        <v>0</v>
      </c>
      <c r="M18" s="1128">
        <v>9.6153846153846194E-3</v>
      </c>
      <c r="N18" s="1128">
        <v>0</v>
      </c>
      <c r="O18" s="1128">
        <v>3.3653846153846201E-2</v>
      </c>
      <c r="P18" s="1128">
        <v>0</v>
      </c>
      <c r="Q18" s="1128">
        <v>4.8076923076923097E-3</v>
      </c>
      <c r="R18" s="1128">
        <v>0</v>
      </c>
      <c r="S18" s="1128">
        <v>0</v>
      </c>
      <c r="T18" s="1128">
        <v>0</v>
      </c>
      <c r="U18" s="1128">
        <v>4.8076923076923097E-3</v>
      </c>
      <c r="V18" s="1128">
        <v>0</v>
      </c>
      <c r="X18" s="1128">
        <f t="shared" si="1"/>
        <v>52</v>
      </c>
      <c r="Y18" s="1128">
        <f t="shared" si="1"/>
        <v>0</v>
      </c>
      <c r="Z18" s="1128">
        <f t="shared" si="2"/>
        <v>2.0000000000000009</v>
      </c>
      <c r="AA18" s="1128">
        <f t="shared" si="2"/>
        <v>0</v>
      </c>
      <c r="AB18" s="1128">
        <f t="shared" si="3"/>
        <v>7.0000000000000098</v>
      </c>
      <c r="AC18" s="1128">
        <f t="shared" si="3"/>
        <v>0</v>
      </c>
      <c r="AD18" s="1128">
        <f t="shared" si="4"/>
        <v>1.0000000000000004</v>
      </c>
      <c r="AE18" s="1128">
        <f t="shared" si="4"/>
        <v>0</v>
      </c>
      <c r="AF18" s="1128">
        <f t="shared" si="5"/>
        <v>0</v>
      </c>
      <c r="AG18" s="1128">
        <f t="shared" si="5"/>
        <v>0</v>
      </c>
      <c r="AH18" s="1128">
        <f t="shared" si="6"/>
        <v>1.0000000000000004</v>
      </c>
      <c r="AI18" s="1128">
        <f t="shared" si="6"/>
        <v>0</v>
      </c>
      <c r="AL18" s="1128">
        <v>0.11731843575419</v>
      </c>
      <c r="AM18" s="1128">
        <v>0</v>
      </c>
      <c r="AO18">
        <f t="shared" si="7"/>
        <v>24.402234636871519</v>
      </c>
      <c r="AP18">
        <f t="shared" si="7"/>
        <v>0</v>
      </c>
      <c r="AS18" s="309">
        <v>9.1346153846153799E-2</v>
      </c>
      <c r="AT18" s="309">
        <v>0</v>
      </c>
      <c r="AU18" s="309">
        <f t="shared" si="8"/>
        <v>-8.6538461538462064E-3</v>
      </c>
      <c r="AV18" s="1142">
        <f t="shared" si="8"/>
        <v>-0.1</v>
      </c>
      <c r="AX18">
        <f t="shared" si="9"/>
        <v>0</v>
      </c>
      <c r="AY18">
        <f t="shared" si="9"/>
        <v>0</v>
      </c>
      <c r="BA18" s="1128">
        <v>0</v>
      </c>
      <c r="BC18">
        <f t="shared" si="10"/>
        <v>0</v>
      </c>
      <c r="BF18">
        <v>0</v>
      </c>
      <c r="BG18" s="1128"/>
    </row>
    <row r="19" spans="1:59" x14ac:dyDescent="0.2">
      <c r="A19" s="197" t="s">
        <v>61</v>
      </c>
      <c r="B19" s="1126">
        <v>2456</v>
      </c>
      <c r="C19" s="1127">
        <v>178</v>
      </c>
      <c r="D19" s="1127">
        <v>0</v>
      </c>
      <c r="E19" s="1128">
        <v>7.3446327683615822E-2</v>
      </c>
      <c r="F19" s="1128">
        <v>0</v>
      </c>
      <c r="G19" s="1128">
        <f t="shared" si="0"/>
        <v>13.073446327683616</v>
      </c>
      <c r="H19" s="1128">
        <f t="shared" si="0"/>
        <v>0</v>
      </c>
      <c r="K19" s="1128">
        <v>3.9325842696629199E-2</v>
      </c>
      <c r="L19" s="1128">
        <v>0</v>
      </c>
      <c r="M19" s="1128">
        <v>5.6179775280898901E-3</v>
      </c>
      <c r="N19" s="1128">
        <v>0</v>
      </c>
      <c r="O19" s="1128">
        <v>5.6179775280898903E-2</v>
      </c>
      <c r="P19" s="1128">
        <v>0</v>
      </c>
      <c r="Q19" s="1128">
        <v>5.6179775280898901E-3</v>
      </c>
      <c r="R19" s="1128">
        <v>0</v>
      </c>
      <c r="S19" s="1128">
        <v>1.1235955056179799E-2</v>
      </c>
      <c r="T19" s="1128">
        <v>0</v>
      </c>
      <c r="U19" s="1128">
        <v>0</v>
      </c>
      <c r="V19" s="1128">
        <v>0</v>
      </c>
      <c r="X19" s="1128">
        <f t="shared" si="1"/>
        <v>6.9999999999999973</v>
      </c>
      <c r="Y19" s="1128">
        <f t="shared" si="1"/>
        <v>0</v>
      </c>
      <c r="Z19" s="1128">
        <f t="shared" si="2"/>
        <v>1.0000000000000004</v>
      </c>
      <c r="AA19" s="1128">
        <f t="shared" si="2"/>
        <v>0</v>
      </c>
      <c r="AB19" s="1128">
        <f t="shared" si="3"/>
        <v>10.000000000000005</v>
      </c>
      <c r="AC19" s="1128">
        <f t="shared" si="3"/>
        <v>0</v>
      </c>
      <c r="AD19" s="1128">
        <f t="shared" si="4"/>
        <v>1.0000000000000004</v>
      </c>
      <c r="AE19" s="1128">
        <f t="shared" si="4"/>
        <v>0</v>
      </c>
      <c r="AF19" s="1128">
        <f t="shared" si="5"/>
        <v>2.0000000000000044</v>
      </c>
      <c r="AG19" s="1128">
        <f t="shared" si="5"/>
        <v>0</v>
      </c>
      <c r="AH19" s="1128">
        <f t="shared" si="6"/>
        <v>0</v>
      </c>
      <c r="AI19" s="1128">
        <f t="shared" si="6"/>
        <v>0</v>
      </c>
      <c r="AL19" s="1128">
        <v>0.186440677966102</v>
      </c>
      <c r="AM19" s="1128">
        <v>0</v>
      </c>
      <c r="AO19">
        <f t="shared" si="7"/>
        <v>33.186440677966154</v>
      </c>
      <c r="AP19">
        <f t="shared" si="7"/>
        <v>0</v>
      </c>
      <c r="AS19" s="309">
        <v>4.49438202247191E-2</v>
      </c>
      <c r="AT19" s="309">
        <v>0</v>
      </c>
      <c r="AU19" s="309">
        <f t="shared" si="8"/>
        <v>-5.5056179775280906E-2</v>
      </c>
      <c r="AV19" s="1142">
        <f t="shared" si="8"/>
        <v>-0.1</v>
      </c>
      <c r="AX19">
        <f t="shared" si="9"/>
        <v>0</v>
      </c>
      <c r="AY19">
        <f t="shared" si="9"/>
        <v>0</v>
      </c>
      <c r="BA19" s="1128">
        <v>5.6497175141242938E-3</v>
      </c>
      <c r="BC19">
        <f t="shared" si="10"/>
        <v>1.0056497175141244</v>
      </c>
      <c r="BF19">
        <v>0</v>
      </c>
      <c r="BG19" s="1128"/>
    </row>
    <row r="20" spans="1:59" x14ac:dyDescent="0.2">
      <c r="A20" s="197" t="s">
        <v>62</v>
      </c>
      <c r="B20" s="1126">
        <v>2449</v>
      </c>
      <c r="C20" s="1127">
        <v>268</v>
      </c>
      <c r="D20" s="1127">
        <v>0</v>
      </c>
      <c r="E20" s="1128">
        <v>0.26819923371647508</v>
      </c>
      <c r="F20" s="1128">
        <v>0</v>
      </c>
      <c r="G20" s="1128">
        <f t="shared" si="0"/>
        <v>71.877394636015325</v>
      </c>
      <c r="H20" s="1128">
        <f t="shared" si="0"/>
        <v>0</v>
      </c>
      <c r="K20" s="1128">
        <v>0.13059701492537301</v>
      </c>
      <c r="L20" s="1128">
        <v>0</v>
      </c>
      <c r="M20" s="1128">
        <v>1.8656716417910401E-2</v>
      </c>
      <c r="N20" s="1128">
        <v>0</v>
      </c>
      <c r="O20" s="1128">
        <v>0.18656716417910399</v>
      </c>
      <c r="P20" s="1128">
        <v>0</v>
      </c>
      <c r="Q20" s="1128">
        <v>0.10820895522388101</v>
      </c>
      <c r="R20" s="1128">
        <v>0</v>
      </c>
      <c r="S20" s="1128">
        <v>7.0895522388059698E-2</v>
      </c>
      <c r="T20" s="1128">
        <v>0</v>
      </c>
      <c r="U20" s="1128">
        <v>0</v>
      </c>
      <c r="V20" s="1128">
        <v>0</v>
      </c>
      <c r="X20" s="1128">
        <f t="shared" si="1"/>
        <v>34.999999999999964</v>
      </c>
      <c r="Y20" s="1128">
        <f t="shared" si="1"/>
        <v>0</v>
      </c>
      <c r="Z20" s="1128">
        <f t="shared" si="2"/>
        <v>4.9999999999999876</v>
      </c>
      <c r="AA20" s="1128">
        <f t="shared" si="2"/>
        <v>0</v>
      </c>
      <c r="AB20" s="1128">
        <f t="shared" si="3"/>
        <v>49.999999999999872</v>
      </c>
      <c r="AC20" s="1128">
        <f t="shared" si="3"/>
        <v>0</v>
      </c>
      <c r="AD20" s="1128">
        <f t="shared" si="4"/>
        <v>29.00000000000011</v>
      </c>
      <c r="AE20" s="1128">
        <f t="shared" si="4"/>
        <v>0</v>
      </c>
      <c r="AF20" s="1128">
        <f t="shared" si="5"/>
        <v>19</v>
      </c>
      <c r="AG20" s="1128">
        <f t="shared" si="5"/>
        <v>0</v>
      </c>
      <c r="AH20" s="1128">
        <f t="shared" si="6"/>
        <v>0</v>
      </c>
      <c r="AI20" s="1128">
        <f t="shared" si="6"/>
        <v>0</v>
      </c>
      <c r="AL20" s="1128">
        <v>2.2471910112359599E-2</v>
      </c>
      <c r="AM20" s="1128">
        <v>0</v>
      </c>
      <c r="AO20">
        <f t="shared" si="7"/>
        <v>6.0224719101123725</v>
      </c>
      <c r="AP20">
        <f t="shared" si="7"/>
        <v>0</v>
      </c>
      <c r="AS20" s="309">
        <v>1.1194029850746299E-2</v>
      </c>
      <c r="AT20" s="309">
        <v>0</v>
      </c>
      <c r="AU20" s="309">
        <f t="shared" si="8"/>
        <v>-8.8805970149253705E-2</v>
      </c>
      <c r="AV20" s="1142">
        <f t="shared" si="8"/>
        <v>-0.1</v>
      </c>
      <c r="AX20">
        <f t="shared" si="9"/>
        <v>0</v>
      </c>
      <c r="AY20">
        <f t="shared" si="9"/>
        <v>0</v>
      </c>
      <c r="BA20" s="1128">
        <v>0</v>
      </c>
      <c r="BC20">
        <f t="shared" si="10"/>
        <v>0</v>
      </c>
      <c r="BF20">
        <v>0</v>
      </c>
      <c r="BG20" s="1128"/>
    </row>
    <row r="21" spans="1:59" x14ac:dyDescent="0.2">
      <c r="A21" s="197" t="s">
        <v>63</v>
      </c>
      <c r="B21" s="1126">
        <v>2448</v>
      </c>
      <c r="C21" s="1127">
        <v>311</v>
      </c>
      <c r="D21" s="1127">
        <v>0</v>
      </c>
      <c r="E21" s="1128">
        <v>0.33333333333333331</v>
      </c>
      <c r="F21" s="1128">
        <v>0</v>
      </c>
      <c r="G21" s="1128">
        <f t="shared" si="0"/>
        <v>103.66666666666666</v>
      </c>
      <c r="H21" s="1128">
        <f t="shared" si="0"/>
        <v>0</v>
      </c>
      <c r="K21" s="1128">
        <v>0.14147909967845701</v>
      </c>
      <c r="L21" s="1128">
        <v>0</v>
      </c>
      <c r="M21" s="1128">
        <v>4.1800643086816698E-2</v>
      </c>
      <c r="N21" s="1128">
        <v>0</v>
      </c>
      <c r="O21" s="1128">
        <v>0.17041800643086799</v>
      </c>
      <c r="P21" s="1128">
        <v>0</v>
      </c>
      <c r="Q21" s="1128">
        <v>9.9678456591639902E-2</v>
      </c>
      <c r="R21" s="1128">
        <v>0</v>
      </c>
      <c r="S21" s="1128">
        <v>9.3247588424437297E-2</v>
      </c>
      <c r="T21" s="1128">
        <v>0</v>
      </c>
      <c r="U21" s="1128">
        <v>0</v>
      </c>
      <c r="V21" s="1128">
        <v>0</v>
      </c>
      <c r="X21" s="1128">
        <f t="shared" si="1"/>
        <v>44.000000000000128</v>
      </c>
      <c r="Y21" s="1128">
        <f t="shared" si="1"/>
        <v>0</v>
      </c>
      <c r="Z21" s="1128">
        <f t="shared" si="2"/>
        <v>12.999999999999993</v>
      </c>
      <c r="AA21" s="1128">
        <f t="shared" si="2"/>
        <v>0</v>
      </c>
      <c r="AB21" s="1128">
        <f t="shared" si="3"/>
        <v>52.999999999999943</v>
      </c>
      <c r="AC21" s="1128">
        <f t="shared" si="3"/>
        <v>0</v>
      </c>
      <c r="AD21" s="1128">
        <f t="shared" si="4"/>
        <v>31.000000000000011</v>
      </c>
      <c r="AE21" s="1128">
        <f t="shared" si="4"/>
        <v>0</v>
      </c>
      <c r="AF21" s="1128">
        <f t="shared" si="5"/>
        <v>29</v>
      </c>
      <c r="AG21" s="1128">
        <f t="shared" si="5"/>
        <v>0</v>
      </c>
      <c r="AH21" s="1128">
        <f t="shared" si="6"/>
        <v>0</v>
      </c>
      <c r="AI21" s="1128">
        <f t="shared" si="6"/>
        <v>0</v>
      </c>
      <c r="AL21" s="1128">
        <v>2.25806451612903E-2</v>
      </c>
      <c r="AM21" s="1128">
        <v>0</v>
      </c>
      <c r="AO21">
        <f t="shared" si="7"/>
        <v>7.0225806451612831</v>
      </c>
      <c r="AP21">
        <f t="shared" si="7"/>
        <v>0</v>
      </c>
      <c r="AS21" s="309">
        <v>3.53697749196141E-2</v>
      </c>
      <c r="AT21" s="309">
        <v>0</v>
      </c>
      <c r="AU21" s="309">
        <f t="shared" si="8"/>
        <v>-6.4630225080385906E-2</v>
      </c>
      <c r="AV21" s="1142">
        <f t="shared" si="8"/>
        <v>-0.1</v>
      </c>
      <c r="AX21">
        <f t="shared" si="9"/>
        <v>0</v>
      </c>
      <c r="AY21">
        <f t="shared" si="9"/>
        <v>0</v>
      </c>
      <c r="BA21" s="1128">
        <v>0</v>
      </c>
      <c r="BC21">
        <f t="shared" si="10"/>
        <v>0</v>
      </c>
      <c r="BF21">
        <v>0</v>
      </c>
      <c r="BG21" s="1128"/>
    </row>
    <row r="22" spans="1:59" x14ac:dyDescent="0.2">
      <c r="A22" s="1143" t="s">
        <v>193</v>
      </c>
      <c r="B22" s="1144">
        <v>2467</v>
      </c>
      <c r="C22" s="1127">
        <v>362</v>
      </c>
      <c r="D22" s="1127">
        <v>0</v>
      </c>
      <c r="E22" s="1128">
        <v>0.27089337175792505</v>
      </c>
      <c r="F22" s="1128">
        <v>0</v>
      </c>
      <c r="G22" s="1128">
        <f t="shared" si="0"/>
        <v>98.063400576368863</v>
      </c>
      <c r="H22" s="1128">
        <f t="shared" si="0"/>
        <v>0</v>
      </c>
      <c r="K22" s="1128">
        <v>9.44444444444444E-2</v>
      </c>
      <c r="L22" s="1128">
        <v>0</v>
      </c>
      <c r="M22" s="1128">
        <v>8.6111111111111097E-2</v>
      </c>
      <c r="N22" s="1128">
        <v>0</v>
      </c>
      <c r="O22" s="1128">
        <v>0.30277777777777798</v>
      </c>
      <c r="P22" s="1128">
        <v>0</v>
      </c>
      <c r="Q22" s="1128">
        <v>2.2222222222222199E-2</v>
      </c>
      <c r="R22" s="1128">
        <v>0</v>
      </c>
      <c r="S22" s="1128">
        <v>6.6666666666666693E-2</v>
      </c>
      <c r="T22" s="1128">
        <v>0</v>
      </c>
      <c r="U22" s="1128">
        <v>8.3333333333333297E-3</v>
      </c>
      <c r="V22" s="1128">
        <v>0</v>
      </c>
      <c r="X22" s="1128">
        <f t="shared" si="1"/>
        <v>34.188888888888876</v>
      </c>
      <c r="Y22" s="1128">
        <f t="shared" si="1"/>
        <v>0</v>
      </c>
      <c r="Z22" s="1128">
        <f t="shared" si="2"/>
        <v>31.172222222222217</v>
      </c>
      <c r="AA22" s="1128">
        <f t="shared" si="2"/>
        <v>0</v>
      </c>
      <c r="AB22" s="1128">
        <f t="shared" si="3"/>
        <v>109.60555555555563</v>
      </c>
      <c r="AC22" s="1128">
        <f t="shared" si="3"/>
        <v>0</v>
      </c>
      <c r="AD22" s="1128">
        <f t="shared" si="4"/>
        <v>8.0444444444444354</v>
      </c>
      <c r="AE22" s="1128">
        <f t="shared" si="4"/>
        <v>0</v>
      </c>
      <c r="AF22" s="1128">
        <f t="shared" si="5"/>
        <v>24.133333333333344</v>
      </c>
      <c r="AG22" s="1128">
        <f t="shared" si="5"/>
        <v>0</v>
      </c>
      <c r="AH22" s="1128">
        <f t="shared" si="6"/>
        <v>3.0166666666666653</v>
      </c>
      <c r="AI22" s="1128">
        <f t="shared" si="6"/>
        <v>0</v>
      </c>
      <c r="AL22" s="1128">
        <v>1.9543973941368101E-2</v>
      </c>
      <c r="AM22" s="1128">
        <v>0</v>
      </c>
      <c r="AO22">
        <f t="shared" si="7"/>
        <v>7.0749185667752528</v>
      </c>
      <c r="AP22">
        <f t="shared" si="7"/>
        <v>0</v>
      </c>
      <c r="AS22" s="309">
        <v>2.4861878453038701E-2</v>
      </c>
      <c r="AT22" s="309">
        <v>0</v>
      </c>
      <c r="AU22" s="309">
        <f t="shared" si="8"/>
        <v>-7.5138121546961312E-2</v>
      </c>
      <c r="AV22" s="1142">
        <f t="shared" si="8"/>
        <v>-0.1</v>
      </c>
      <c r="AX22">
        <f t="shared" si="9"/>
        <v>0</v>
      </c>
      <c r="AY22">
        <f t="shared" si="9"/>
        <v>0</v>
      </c>
      <c r="BA22" s="1128">
        <v>0</v>
      </c>
      <c r="BC22">
        <f t="shared" si="10"/>
        <v>0</v>
      </c>
      <c r="BF22">
        <v>0</v>
      </c>
      <c r="BG22" s="1128"/>
    </row>
    <row r="23" spans="1:59" x14ac:dyDescent="0.2">
      <c r="A23" s="1145" t="s">
        <v>127</v>
      </c>
      <c r="B23" s="1146">
        <v>5402</v>
      </c>
      <c r="C23" s="1127">
        <v>0</v>
      </c>
      <c r="D23" s="1127">
        <v>1333</v>
      </c>
      <c r="E23" s="1128">
        <v>0</v>
      </c>
      <c r="F23" s="1128">
        <v>0.1575443786982248</v>
      </c>
      <c r="G23" s="1128">
        <f t="shared" si="0"/>
        <v>0</v>
      </c>
      <c r="H23" s="1128">
        <f t="shared" si="0"/>
        <v>210.00665680473367</v>
      </c>
      <c r="K23" s="1128">
        <v>0</v>
      </c>
      <c r="L23" s="1128">
        <v>9.0157776108189293E-3</v>
      </c>
      <c r="M23" s="1128">
        <v>0</v>
      </c>
      <c r="N23" s="1128">
        <v>0.10969196093163</v>
      </c>
      <c r="O23" s="1128">
        <v>0</v>
      </c>
      <c r="P23" s="1128">
        <v>4.5078888054094698E-3</v>
      </c>
      <c r="Q23" s="1128">
        <v>0</v>
      </c>
      <c r="R23" s="1128">
        <v>1.2772351615326799E-2</v>
      </c>
      <c r="S23" s="1128">
        <v>0</v>
      </c>
      <c r="T23" s="1128">
        <v>6.0105184072126198E-3</v>
      </c>
      <c r="U23" s="1128">
        <v>0</v>
      </c>
      <c r="V23" s="1128">
        <v>3.0052592036063099E-3</v>
      </c>
      <c r="X23" s="1128">
        <f t="shared" si="1"/>
        <v>0</v>
      </c>
      <c r="Y23" s="1128">
        <f t="shared" si="1"/>
        <v>12.018031555221633</v>
      </c>
      <c r="Z23" s="1128">
        <f t="shared" si="2"/>
        <v>0</v>
      </c>
      <c r="AA23" s="1128">
        <f t="shared" si="2"/>
        <v>146.2193839218628</v>
      </c>
      <c r="AB23" s="1128">
        <f t="shared" si="3"/>
        <v>0</v>
      </c>
      <c r="AC23" s="1128">
        <f t="shared" si="3"/>
        <v>6.0090157776108235</v>
      </c>
      <c r="AD23" s="1128">
        <f t="shared" si="4"/>
        <v>0</v>
      </c>
      <c r="AE23" s="1128">
        <f t="shared" si="4"/>
        <v>17.025544703230622</v>
      </c>
      <c r="AF23" s="1128">
        <f t="shared" si="5"/>
        <v>0</v>
      </c>
      <c r="AG23" s="1128">
        <f t="shared" si="5"/>
        <v>8.0120210368144225</v>
      </c>
      <c r="AH23" s="1128">
        <f t="shared" si="6"/>
        <v>0</v>
      </c>
      <c r="AI23" s="1128">
        <f t="shared" si="6"/>
        <v>4.0060105184072112</v>
      </c>
      <c r="AL23" s="1128">
        <v>0</v>
      </c>
      <c r="AM23" s="1128">
        <v>9.81132075471698E-3</v>
      </c>
      <c r="AO23">
        <f t="shared" si="7"/>
        <v>0</v>
      </c>
      <c r="AP23">
        <f t="shared" si="7"/>
        <v>13.078490566037734</v>
      </c>
      <c r="AS23" s="309">
        <v>0</v>
      </c>
      <c r="AT23" s="309">
        <v>2.32558139534884E-2</v>
      </c>
      <c r="AU23" s="309">
        <f t="shared" si="8"/>
        <v>-0.1</v>
      </c>
      <c r="AV23" s="1142">
        <f t="shared" si="8"/>
        <v>-7.6744186046511606E-2</v>
      </c>
      <c r="AX23">
        <f t="shared" si="9"/>
        <v>0</v>
      </c>
      <c r="AY23">
        <f t="shared" si="9"/>
        <v>0</v>
      </c>
      <c r="BA23" s="1128">
        <v>5.1775147928994087E-3</v>
      </c>
      <c r="BC23">
        <f>BA23*D23</f>
        <v>6.9016272189349115</v>
      </c>
      <c r="BF23">
        <v>0.14323607427055701</v>
      </c>
      <c r="BG23" s="1128">
        <f>BF23*D23</f>
        <v>190.9336870026525</v>
      </c>
    </row>
    <row r="24" spans="1:59" x14ac:dyDescent="0.2">
      <c r="A24" s="197" t="s">
        <v>65</v>
      </c>
      <c r="B24" s="1126">
        <v>2455</v>
      </c>
      <c r="C24" s="1127">
        <v>355</v>
      </c>
      <c r="D24" s="1127">
        <v>0</v>
      </c>
      <c r="E24" s="1128">
        <v>0.12813370473537603</v>
      </c>
      <c r="F24" s="1128">
        <v>0</v>
      </c>
      <c r="G24" s="1128">
        <f t="shared" si="0"/>
        <v>45.487465181058489</v>
      </c>
      <c r="H24" s="1128">
        <f t="shared" si="0"/>
        <v>0</v>
      </c>
      <c r="K24" s="1128">
        <v>5.6338028169014096E-3</v>
      </c>
      <c r="L24" s="1128">
        <v>0</v>
      </c>
      <c r="M24" s="1128">
        <v>0.25352112676056299</v>
      </c>
      <c r="N24" s="1128">
        <v>0</v>
      </c>
      <c r="O24" s="1128">
        <v>8.4507042253521101E-3</v>
      </c>
      <c r="P24" s="1128">
        <v>0</v>
      </c>
      <c r="Q24" s="1128">
        <v>1.12676056338028E-2</v>
      </c>
      <c r="R24" s="1128">
        <v>0</v>
      </c>
      <c r="S24" s="1128">
        <v>8.4507042253521101E-3</v>
      </c>
      <c r="T24" s="1128">
        <v>0</v>
      </c>
      <c r="U24" s="1128">
        <v>0</v>
      </c>
      <c r="V24" s="1128">
        <v>0</v>
      </c>
      <c r="X24" s="1128">
        <f t="shared" si="1"/>
        <v>2.0000000000000004</v>
      </c>
      <c r="Y24" s="1128">
        <f t="shared" si="1"/>
        <v>0</v>
      </c>
      <c r="Z24" s="1128">
        <f t="shared" si="2"/>
        <v>89.999999999999858</v>
      </c>
      <c r="AA24" s="1128">
        <f t="shared" si="2"/>
        <v>0</v>
      </c>
      <c r="AB24" s="1128">
        <f t="shared" si="3"/>
        <v>2.9999999999999991</v>
      </c>
      <c r="AC24" s="1128">
        <f t="shared" si="3"/>
        <v>0</v>
      </c>
      <c r="AD24" s="1128">
        <f t="shared" si="4"/>
        <v>3.9999999999999942</v>
      </c>
      <c r="AE24" s="1128">
        <f t="shared" si="4"/>
        <v>0</v>
      </c>
      <c r="AF24" s="1128">
        <f t="shared" si="5"/>
        <v>2.9999999999999991</v>
      </c>
      <c r="AG24" s="1128">
        <f t="shared" si="5"/>
        <v>0</v>
      </c>
      <c r="AH24" s="1128">
        <f t="shared" si="6"/>
        <v>0</v>
      </c>
      <c r="AI24" s="1128">
        <f t="shared" si="6"/>
        <v>0</v>
      </c>
      <c r="AL24" s="1128">
        <v>0.05</v>
      </c>
      <c r="AM24" s="1128">
        <v>0</v>
      </c>
      <c r="AO24">
        <f t="shared" si="7"/>
        <v>17.75</v>
      </c>
      <c r="AP24">
        <f t="shared" si="7"/>
        <v>0</v>
      </c>
      <c r="AS24" s="309">
        <v>2.5352112676056301E-2</v>
      </c>
      <c r="AT24" s="309">
        <v>0</v>
      </c>
      <c r="AU24" s="309">
        <f t="shared" si="8"/>
        <v>-7.4647887323943701E-2</v>
      </c>
      <c r="AV24" s="1142">
        <f t="shared" si="8"/>
        <v>-0.1</v>
      </c>
      <c r="AX24">
        <f t="shared" si="9"/>
        <v>0</v>
      </c>
      <c r="AY24">
        <f t="shared" si="9"/>
        <v>0</v>
      </c>
      <c r="BA24" s="1128">
        <v>5.5710306406685237E-3</v>
      </c>
      <c r="BC24">
        <f>BA24*C24</f>
        <v>1.977715877437326</v>
      </c>
      <c r="BF24">
        <v>0</v>
      </c>
      <c r="BG24" s="1128"/>
    </row>
    <row r="25" spans="1:59" x14ac:dyDescent="0.2">
      <c r="A25" s="197" t="s">
        <v>66</v>
      </c>
      <c r="B25" s="1126">
        <v>5203</v>
      </c>
      <c r="C25" s="1127">
        <v>480</v>
      </c>
      <c r="D25" s="1127">
        <v>0</v>
      </c>
      <c r="E25" s="1128">
        <v>0.19334719334719336</v>
      </c>
      <c r="F25" s="1128">
        <v>0</v>
      </c>
      <c r="G25" s="1128">
        <f t="shared" si="0"/>
        <v>92.806652806652806</v>
      </c>
      <c r="H25" s="1128">
        <f t="shared" si="0"/>
        <v>0</v>
      </c>
      <c r="K25" s="1128">
        <v>8.3857442348008408E-3</v>
      </c>
      <c r="L25" s="1128">
        <v>0</v>
      </c>
      <c r="M25" s="1128">
        <v>0.215932914046122</v>
      </c>
      <c r="N25" s="1128">
        <v>0</v>
      </c>
      <c r="O25" s="1128">
        <v>4.1928721174004204E-3</v>
      </c>
      <c r="P25" s="1128">
        <v>0</v>
      </c>
      <c r="Q25" s="1128">
        <v>2.3060796645702299E-2</v>
      </c>
      <c r="R25" s="1128">
        <v>0</v>
      </c>
      <c r="S25" s="1128">
        <v>1.25786163522013E-2</v>
      </c>
      <c r="T25" s="1128">
        <v>0</v>
      </c>
      <c r="U25" s="1128">
        <v>8.3857442348008408E-3</v>
      </c>
      <c r="V25" s="1128">
        <v>0</v>
      </c>
      <c r="X25" s="1128">
        <f t="shared" si="1"/>
        <v>4.0251572327044034</v>
      </c>
      <c r="Y25" s="1128">
        <f t="shared" si="1"/>
        <v>0</v>
      </c>
      <c r="Z25" s="1128">
        <f t="shared" si="2"/>
        <v>103.64779874213856</v>
      </c>
      <c r="AA25" s="1128">
        <f t="shared" si="2"/>
        <v>0</v>
      </c>
      <c r="AB25" s="1128">
        <f t="shared" si="3"/>
        <v>2.0125786163522017</v>
      </c>
      <c r="AC25" s="1128">
        <f t="shared" si="3"/>
        <v>0</v>
      </c>
      <c r="AD25" s="1128">
        <f t="shared" si="4"/>
        <v>11.069182389937103</v>
      </c>
      <c r="AE25" s="1128">
        <f t="shared" si="4"/>
        <v>0</v>
      </c>
      <c r="AF25" s="1128">
        <f t="shared" si="5"/>
        <v>6.0377358490566237</v>
      </c>
      <c r="AG25" s="1128">
        <f t="shared" si="5"/>
        <v>0</v>
      </c>
      <c r="AH25" s="1128">
        <f t="shared" si="6"/>
        <v>4.0251572327044034</v>
      </c>
      <c r="AI25" s="1128">
        <f t="shared" si="6"/>
        <v>0</v>
      </c>
      <c r="AL25" s="1128">
        <v>6.3559322033898301E-3</v>
      </c>
      <c r="AM25" s="1128">
        <v>0</v>
      </c>
      <c r="AO25">
        <f t="shared" si="7"/>
        <v>3.0508474576271185</v>
      </c>
      <c r="AP25">
        <f t="shared" si="7"/>
        <v>0</v>
      </c>
      <c r="AS25" s="309">
        <v>4.1666666666666699E-2</v>
      </c>
      <c r="AT25" s="309">
        <v>0</v>
      </c>
      <c r="AU25" s="309">
        <f t="shared" si="8"/>
        <v>-5.8333333333333307E-2</v>
      </c>
      <c r="AV25" s="1142">
        <f t="shared" si="8"/>
        <v>-0.1</v>
      </c>
      <c r="AX25">
        <f t="shared" si="9"/>
        <v>0</v>
      </c>
      <c r="AY25">
        <f t="shared" si="9"/>
        <v>0</v>
      </c>
      <c r="BA25" s="1128">
        <v>2.0790020790020791E-3</v>
      </c>
      <c r="BC25">
        <f>BA25*C25</f>
        <v>0.99792099792099798</v>
      </c>
      <c r="BF25">
        <v>0</v>
      </c>
      <c r="BG25" s="1128"/>
    </row>
    <row r="26" spans="1:59" x14ac:dyDescent="0.2">
      <c r="A26" s="197" t="s">
        <v>67</v>
      </c>
      <c r="B26" s="1126">
        <v>2451</v>
      </c>
      <c r="C26" s="1127">
        <v>473</v>
      </c>
      <c r="D26" s="1127">
        <v>0</v>
      </c>
      <c r="E26" s="1128">
        <v>0.21017699115044244</v>
      </c>
      <c r="F26" s="1128">
        <v>0</v>
      </c>
      <c r="G26" s="1128">
        <f t="shared" si="0"/>
        <v>99.413716814159272</v>
      </c>
      <c r="H26" s="1128">
        <f t="shared" si="0"/>
        <v>0</v>
      </c>
      <c r="K26" s="1128">
        <v>5.93220338983051E-2</v>
      </c>
      <c r="L26" s="1128">
        <v>0</v>
      </c>
      <c r="M26" s="1128">
        <v>0.27542372881355898</v>
      </c>
      <c r="N26" s="1128">
        <v>0</v>
      </c>
      <c r="O26" s="1128">
        <v>0.15677966101694901</v>
      </c>
      <c r="P26" s="1128">
        <v>0</v>
      </c>
      <c r="Q26" s="1128">
        <v>6.3559322033898301E-3</v>
      </c>
      <c r="R26" s="1128">
        <v>0</v>
      </c>
      <c r="S26" s="1128">
        <v>1.6949152542372899E-2</v>
      </c>
      <c r="T26" s="1128">
        <v>0</v>
      </c>
      <c r="U26" s="1128">
        <v>0</v>
      </c>
      <c r="V26" s="1128">
        <v>0</v>
      </c>
      <c r="X26" s="1128">
        <f t="shared" si="1"/>
        <v>28.059322033898312</v>
      </c>
      <c r="Y26" s="1128">
        <f t="shared" si="1"/>
        <v>0</v>
      </c>
      <c r="Z26" s="1128">
        <f t="shared" si="2"/>
        <v>130.27542372881339</v>
      </c>
      <c r="AA26" s="1128">
        <f t="shared" si="2"/>
        <v>0</v>
      </c>
      <c r="AB26" s="1128">
        <f t="shared" si="3"/>
        <v>74.156779661016884</v>
      </c>
      <c r="AC26" s="1128">
        <f t="shared" si="3"/>
        <v>0</v>
      </c>
      <c r="AD26" s="1128">
        <f t="shared" si="4"/>
        <v>3.0063559322033897</v>
      </c>
      <c r="AE26" s="1128">
        <f t="shared" si="4"/>
        <v>0</v>
      </c>
      <c r="AF26" s="1128">
        <f t="shared" si="5"/>
        <v>8.0169491525423808</v>
      </c>
      <c r="AG26" s="1128">
        <f t="shared" si="5"/>
        <v>0</v>
      </c>
      <c r="AH26" s="1128">
        <f t="shared" si="6"/>
        <v>0</v>
      </c>
      <c r="AI26" s="1128">
        <f t="shared" si="6"/>
        <v>0</v>
      </c>
      <c r="AL26" s="1128">
        <v>1.0416666666666701E-2</v>
      </c>
      <c r="AM26" s="1128">
        <v>0</v>
      </c>
      <c r="AO26">
        <f t="shared" si="7"/>
        <v>4.9270833333333499</v>
      </c>
      <c r="AP26">
        <f t="shared" si="7"/>
        <v>0</v>
      </c>
      <c r="AS26" s="309">
        <v>6.13107822410148E-2</v>
      </c>
      <c r="AT26" s="309">
        <v>0</v>
      </c>
      <c r="AU26" s="309">
        <f t="shared" si="8"/>
        <v>-3.8689217758985206E-2</v>
      </c>
      <c r="AV26" s="1142">
        <f t="shared" si="8"/>
        <v>-0.1</v>
      </c>
      <c r="AX26">
        <f t="shared" si="9"/>
        <v>0</v>
      </c>
      <c r="AY26">
        <f t="shared" si="9"/>
        <v>0</v>
      </c>
      <c r="BA26" s="1128">
        <v>0</v>
      </c>
      <c r="BC26">
        <f>BA26*C26</f>
        <v>0</v>
      </c>
      <c r="BF26">
        <v>0</v>
      </c>
      <c r="BG26" s="1128"/>
    </row>
    <row r="27" spans="1:59" x14ac:dyDescent="0.2">
      <c r="A27" s="197" t="s">
        <v>116</v>
      </c>
      <c r="B27" s="1126">
        <v>4608</v>
      </c>
      <c r="C27" s="1127">
        <v>0</v>
      </c>
      <c r="D27" s="1127">
        <v>558</v>
      </c>
      <c r="E27" s="1128">
        <v>0</v>
      </c>
      <c r="F27" s="1128">
        <v>0.56976744186046513</v>
      </c>
      <c r="G27" s="1128">
        <f t="shared" si="0"/>
        <v>0</v>
      </c>
      <c r="H27" s="1128">
        <f t="shared" si="0"/>
        <v>317.93023255813955</v>
      </c>
      <c r="K27" s="1128">
        <v>0</v>
      </c>
      <c r="L27" s="1128">
        <v>0.104129263913824</v>
      </c>
      <c r="M27" s="1128">
        <v>0</v>
      </c>
      <c r="N27" s="1128">
        <v>0.10951526032316</v>
      </c>
      <c r="O27" s="1128">
        <v>0</v>
      </c>
      <c r="P27" s="1128">
        <v>0.10053859964093401</v>
      </c>
      <c r="Q27" s="1128">
        <v>0</v>
      </c>
      <c r="R27" s="1128">
        <v>0.104129263913824</v>
      </c>
      <c r="S27" s="1128">
        <v>0</v>
      </c>
      <c r="T27" s="1128">
        <v>0.389587073608618</v>
      </c>
      <c r="U27" s="1128">
        <v>0</v>
      </c>
      <c r="V27" s="1128">
        <v>1.6157989228007201E-2</v>
      </c>
      <c r="X27" s="1128">
        <f t="shared" si="1"/>
        <v>0</v>
      </c>
      <c r="Y27" s="1128">
        <f t="shared" si="1"/>
        <v>58.104129263913791</v>
      </c>
      <c r="Z27" s="1128">
        <f t="shared" si="2"/>
        <v>0</v>
      </c>
      <c r="AA27" s="1128">
        <f t="shared" si="2"/>
        <v>61.109515260323278</v>
      </c>
      <c r="AB27" s="1128">
        <f t="shared" si="3"/>
        <v>0</v>
      </c>
      <c r="AC27" s="1128">
        <f t="shared" si="3"/>
        <v>56.100538599641176</v>
      </c>
      <c r="AD27" s="1128">
        <f t="shared" si="4"/>
        <v>0</v>
      </c>
      <c r="AE27" s="1128">
        <f t="shared" si="4"/>
        <v>58.104129263913791</v>
      </c>
      <c r="AF27" s="1128">
        <f t="shared" si="5"/>
        <v>0</v>
      </c>
      <c r="AG27" s="1128">
        <f t="shared" si="5"/>
        <v>217.38958707360885</v>
      </c>
      <c r="AH27" s="1128">
        <f t="shared" si="6"/>
        <v>0</v>
      </c>
      <c r="AI27" s="1128">
        <f t="shared" si="6"/>
        <v>9.0161579892280184</v>
      </c>
      <c r="AL27" s="1128">
        <v>0</v>
      </c>
      <c r="AM27" s="1128">
        <v>2.5270758122743701E-2</v>
      </c>
      <c r="AO27">
        <f t="shared" si="7"/>
        <v>0</v>
      </c>
      <c r="AP27">
        <f t="shared" si="7"/>
        <v>14.101083032490985</v>
      </c>
      <c r="AS27" s="309">
        <v>0</v>
      </c>
      <c r="AT27" s="309">
        <v>8.2437275985663097E-2</v>
      </c>
      <c r="AU27" s="309">
        <f t="shared" si="8"/>
        <v>-0.1</v>
      </c>
      <c r="AV27" s="1142">
        <f t="shared" si="8"/>
        <v>-1.7562724014336908E-2</v>
      </c>
      <c r="AX27">
        <f t="shared" si="9"/>
        <v>0</v>
      </c>
      <c r="AY27">
        <f t="shared" si="9"/>
        <v>0</v>
      </c>
      <c r="BA27" s="1128">
        <v>9.9667774086378731E-3</v>
      </c>
      <c r="BC27">
        <f>BA27*D27</f>
        <v>5.5614617940199329</v>
      </c>
      <c r="BF27">
        <v>0.378698224852071</v>
      </c>
      <c r="BG27" s="1128">
        <f>BF27*D27</f>
        <v>211.31360946745562</v>
      </c>
    </row>
    <row r="28" spans="1:59" x14ac:dyDescent="0.2">
      <c r="A28" s="197" t="s">
        <v>68</v>
      </c>
      <c r="B28" s="1126">
        <v>2409</v>
      </c>
      <c r="C28" s="1127">
        <v>551</v>
      </c>
      <c r="D28" s="1127">
        <v>0</v>
      </c>
      <c r="E28" s="1128">
        <v>0.3221238938053097</v>
      </c>
      <c r="F28" s="1128">
        <v>0</v>
      </c>
      <c r="G28" s="1128">
        <f t="shared" si="0"/>
        <v>177.49026548672563</v>
      </c>
      <c r="H28" s="1128">
        <f t="shared" si="0"/>
        <v>0</v>
      </c>
      <c r="K28" s="1128">
        <v>5.4744525547445301E-3</v>
      </c>
      <c r="L28" s="1128">
        <v>0</v>
      </c>
      <c r="M28" s="1128">
        <v>0.12956204379562</v>
      </c>
      <c r="N28" s="1128">
        <v>0</v>
      </c>
      <c r="O28" s="1128">
        <v>0.51824817518248201</v>
      </c>
      <c r="P28" s="1128">
        <v>0</v>
      </c>
      <c r="Q28" s="1128">
        <v>4.7445255474452601E-2</v>
      </c>
      <c r="R28" s="1128">
        <v>0</v>
      </c>
      <c r="S28" s="1128">
        <v>1.8248175182481799E-2</v>
      </c>
      <c r="T28" s="1128">
        <v>0</v>
      </c>
      <c r="U28" s="1128">
        <v>3.6496350364963498E-3</v>
      </c>
      <c r="V28" s="1128">
        <v>0</v>
      </c>
      <c r="X28" s="1128">
        <f t="shared" si="1"/>
        <v>3.0164233576642361</v>
      </c>
      <c r="Y28" s="1128">
        <f t="shared" si="1"/>
        <v>0</v>
      </c>
      <c r="Z28" s="1128">
        <f t="shared" si="2"/>
        <v>71.388686131386621</v>
      </c>
      <c r="AA28" s="1128">
        <f t="shared" si="2"/>
        <v>0</v>
      </c>
      <c r="AB28" s="1128">
        <f t="shared" si="3"/>
        <v>285.55474452554756</v>
      </c>
      <c r="AC28" s="1128">
        <f t="shared" si="3"/>
        <v>0</v>
      </c>
      <c r="AD28" s="1128">
        <f t="shared" si="4"/>
        <v>26.142335766423383</v>
      </c>
      <c r="AE28" s="1128">
        <f t="shared" si="4"/>
        <v>0</v>
      </c>
      <c r="AF28" s="1128">
        <f t="shared" si="5"/>
        <v>10.054744525547472</v>
      </c>
      <c r="AG28" s="1128">
        <f t="shared" si="5"/>
        <v>0</v>
      </c>
      <c r="AH28" s="1128">
        <f t="shared" si="6"/>
        <v>2.0109489051094886</v>
      </c>
      <c r="AI28" s="1128">
        <f t="shared" si="6"/>
        <v>0</v>
      </c>
      <c r="AL28" s="1128">
        <v>0.36152219873150099</v>
      </c>
      <c r="AM28" s="1128">
        <v>0</v>
      </c>
      <c r="AO28">
        <f t="shared" si="7"/>
        <v>199.19873150105704</v>
      </c>
      <c r="AP28">
        <f t="shared" si="7"/>
        <v>0</v>
      </c>
      <c r="AS28" s="309">
        <v>9.6188747731397503E-2</v>
      </c>
      <c r="AT28" s="309">
        <v>0</v>
      </c>
      <c r="AU28" s="309">
        <f t="shared" si="8"/>
        <v>-3.8112522686025024E-3</v>
      </c>
      <c r="AV28" s="1142">
        <f t="shared" si="8"/>
        <v>-0.1</v>
      </c>
      <c r="AX28">
        <f t="shared" si="9"/>
        <v>0</v>
      </c>
      <c r="AY28">
        <f t="shared" si="9"/>
        <v>0</v>
      </c>
      <c r="BA28" s="1128">
        <v>3.5398230088495575E-3</v>
      </c>
      <c r="BC28">
        <f>BA28*C28</f>
        <v>1.9504424778761063</v>
      </c>
      <c r="BF28">
        <v>0</v>
      </c>
      <c r="BG28" s="1128"/>
    </row>
    <row r="29" spans="1:59" x14ac:dyDescent="0.2">
      <c r="A29" s="197" t="s">
        <v>172</v>
      </c>
      <c r="B29" s="1126">
        <v>4178</v>
      </c>
      <c r="C29" s="1127">
        <v>0</v>
      </c>
      <c r="D29" s="1127">
        <v>1308</v>
      </c>
      <c r="E29" s="1128">
        <v>0</v>
      </c>
      <c r="F29" s="1128">
        <v>0.37782982045277125</v>
      </c>
      <c r="G29" s="1128">
        <f t="shared" si="0"/>
        <v>0</v>
      </c>
      <c r="H29" s="1128">
        <f t="shared" si="0"/>
        <v>494.20140515222477</v>
      </c>
      <c r="K29" s="1128">
        <v>0</v>
      </c>
      <c r="L29" s="1128">
        <v>4.7655649500384298E-2</v>
      </c>
      <c r="M29" s="1128">
        <v>0</v>
      </c>
      <c r="N29" s="1128">
        <v>4.7655649500384298E-2</v>
      </c>
      <c r="O29" s="1128">
        <v>0</v>
      </c>
      <c r="P29" s="1128">
        <v>0.34435049961567998</v>
      </c>
      <c r="Q29" s="1128">
        <v>0</v>
      </c>
      <c r="R29" s="1128">
        <v>0.14296694850115299</v>
      </c>
      <c r="S29" s="1128">
        <v>0</v>
      </c>
      <c r="T29" s="1128">
        <v>4.9961568024596503E-2</v>
      </c>
      <c r="U29" s="1128">
        <v>0</v>
      </c>
      <c r="V29" s="1128">
        <v>4.6118370484242902E-2</v>
      </c>
      <c r="X29" s="1128">
        <f t="shared" si="1"/>
        <v>0</v>
      </c>
      <c r="Y29" s="1128">
        <f t="shared" si="1"/>
        <v>62.333589546502658</v>
      </c>
      <c r="Z29" s="1128">
        <f t="shared" si="2"/>
        <v>0</v>
      </c>
      <c r="AA29" s="1128">
        <f t="shared" si="2"/>
        <v>62.333589546502658</v>
      </c>
      <c r="AB29" s="1128">
        <f t="shared" si="3"/>
        <v>0</v>
      </c>
      <c r="AC29" s="1128">
        <f t="shared" si="3"/>
        <v>450.41045349730939</v>
      </c>
      <c r="AD29" s="1128">
        <f t="shared" si="4"/>
        <v>0</v>
      </c>
      <c r="AE29" s="1128">
        <f t="shared" si="4"/>
        <v>187.00076863950812</v>
      </c>
      <c r="AF29" s="1128">
        <f t="shared" si="5"/>
        <v>0</v>
      </c>
      <c r="AG29" s="1128">
        <f t="shared" si="5"/>
        <v>65.349730976172225</v>
      </c>
      <c r="AH29" s="1128">
        <f t="shared" si="6"/>
        <v>0</v>
      </c>
      <c r="AI29" s="1128">
        <f t="shared" si="6"/>
        <v>60.322828593389715</v>
      </c>
      <c r="AL29" s="1128">
        <v>0</v>
      </c>
      <c r="AM29" s="1128">
        <v>3.7122969837586998E-2</v>
      </c>
      <c r="AO29">
        <f t="shared" si="7"/>
        <v>0</v>
      </c>
      <c r="AP29">
        <f t="shared" si="7"/>
        <v>48.556844547563792</v>
      </c>
      <c r="AS29" s="309">
        <v>0</v>
      </c>
      <c r="AT29" s="309">
        <v>6.6513761467889898E-2</v>
      </c>
      <c r="AU29" s="309">
        <f t="shared" si="8"/>
        <v>-0.1</v>
      </c>
      <c r="AV29" s="1142">
        <f t="shared" si="8"/>
        <v>-3.3486238532110107E-2</v>
      </c>
      <c r="AX29">
        <f t="shared" si="9"/>
        <v>0</v>
      </c>
      <c r="AY29">
        <f t="shared" si="9"/>
        <v>0</v>
      </c>
      <c r="BA29" s="1128">
        <v>3.9032006245120999E-3</v>
      </c>
      <c r="BC29">
        <f>BA29*D29</f>
        <v>5.105386416861827</v>
      </c>
      <c r="BF29">
        <v>0.28024369016536099</v>
      </c>
      <c r="BG29" s="1128">
        <f>BF29*D29</f>
        <v>366.55874673629216</v>
      </c>
    </row>
    <row r="30" spans="1:59" x14ac:dyDescent="0.2">
      <c r="A30" s="197" t="s">
        <v>159</v>
      </c>
      <c r="B30" s="1126">
        <v>3158</v>
      </c>
      <c r="C30" s="1127">
        <v>117</v>
      </c>
      <c r="D30" s="1127">
        <v>0</v>
      </c>
      <c r="E30" s="1128">
        <v>0.26050420168067218</v>
      </c>
      <c r="F30" s="1128">
        <v>0</v>
      </c>
      <c r="G30" s="1128">
        <f t="shared" si="0"/>
        <v>30.478991596638643</v>
      </c>
      <c r="H30" s="1128">
        <f t="shared" si="0"/>
        <v>0</v>
      </c>
      <c r="K30" s="1128">
        <v>0</v>
      </c>
      <c r="L30" s="1128">
        <v>0</v>
      </c>
      <c r="M30" s="1128">
        <v>0.70085470085470103</v>
      </c>
      <c r="N30" s="1128">
        <v>0</v>
      </c>
      <c r="O30" s="1128">
        <v>0.128205128205128</v>
      </c>
      <c r="P30" s="1128">
        <v>0</v>
      </c>
      <c r="Q30" s="1128">
        <v>0.15384615384615399</v>
      </c>
      <c r="R30" s="1128">
        <v>0</v>
      </c>
      <c r="S30" s="1128">
        <v>8.5470085470085496E-3</v>
      </c>
      <c r="T30" s="1128">
        <v>0</v>
      </c>
      <c r="U30" s="1128">
        <v>0</v>
      </c>
      <c r="V30" s="1128">
        <v>0</v>
      </c>
      <c r="X30" s="1128">
        <f t="shared" si="1"/>
        <v>0</v>
      </c>
      <c r="Y30" s="1128">
        <f t="shared" si="1"/>
        <v>0</v>
      </c>
      <c r="Z30" s="1128">
        <f t="shared" si="2"/>
        <v>82.000000000000014</v>
      </c>
      <c r="AA30" s="1128">
        <f t="shared" si="2"/>
        <v>0</v>
      </c>
      <c r="AB30" s="1128">
        <f t="shared" si="3"/>
        <v>14.999999999999975</v>
      </c>
      <c r="AC30" s="1128">
        <f t="shared" si="3"/>
        <v>0</v>
      </c>
      <c r="AD30" s="1128">
        <f t="shared" si="4"/>
        <v>18.000000000000018</v>
      </c>
      <c r="AE30" s="1128">
        <f t="shared" si="4"/>
        <v>0</v>
      </c>
      <c r="AF30" s="1128">
        <f t="shared" si="5"/>
        <v>1.0000000000000002</v>
      </c>
      <c r="AG30" s="1128">
        <f t="shared" si="5"/>
        <v>0</v>
      </c>
      <c r="AH30" s="1128">
        <f t="shared" si="6"/>
        <v>0</v>
      </c>
      <c r="AI30" s="1128">
        <f t="shared" si="6"/>
        <v>0</v>
      </c>
      <c r="AL30" s="1128">
        <v>0.84415584415584399</v>
      </c>
      <c r="AM30" s="1128">
        <v>0</v>
      </c>
      <c r="AO30">
        <f t="shared" si="7"/>
        <v>98.766233766233753</v>
      </c>
      <c r="AP30">
        <f t="shared" si="7"/>
        <v>0</v>
      </c>
      <c r="AS30" s="309">
        <v>2.5641025641025599E-2</v>
      </c>
      <c r="AT30" s="309">
        <v>0</v>
      </c>
      <c r="AU30" s="309">
        <f t="shared" si="8"/>
        <v>-7.43589743589744E-2</v>
      </c>
      <c r="AV30" s="1142">
        <f t="shared" si="8"/>
        <v>-0.1</v>
      </c>
      <c r="AX30">
        <f t="shared" si="9"/>
        <v>0</v>
      </c>
      <c r="AY30">
        <f t="shared" si="9"/>
        <v>0</v>
      </c>
      <c r="BA30" s="1128">
        <v>0</v>
      </c>
      <c r="BC30">
        <f t="shared" ref="BC30:BC39" si="11">BA30*C30</f>
        <v>0</v>
      </c>
      <c r="BF30">
        <v>0</v>
      </c>
      <c r="BG30" s="1128"/>
    </row>
    <row r="31" spans="1:59" x14ac:dyDescent="0.2">
      <c r="A31" s="197" t="s">
        <v>69</v>
      </c>
      <c r="B31" s="1126">
        <v>2619</v>
      </c>
      <c r="C31" s="1127">
        <v>199</v>
      </c>
      <c r="D31" s="1127">
        <v>0</v>
      </c>
      <c r="E31" s="1128">
        <v>0.67582417582417575</v>
      </c>
      <c r="F31" s="1128">
        <v>0</v>
      </c>
      <c r="G31" s="1128">
        <f t="shared" si="0"/>
        <v>134.48901098901098</v>
      </c>
      <c r="H31" s="1128">
        <f t="shared" si="0"/>
        <v>0</v>
      </c>
      <c r="K31" s="1128">
        <v>2.02020202020202E-2</v>
      </c>
      <c r="L31" s="1128">
        <v>0</v>
      </c>
      <c r="M31" s="1128">
        <v>2.5252525252525301E-2</v>
      </c>
      <c r="N31" s="1128">
        <v>0</v>
      </c>
      <c r="O31" s="1128">
        <v>0.20707070707070699</v>
      </c>
      <c r="P31" s="1128">
        <v>0</v>
      </c>
      <c r="Q31" s="1128">
        <v>5.0505050505050501E-3</v>
      </c>
      <c r="R31" s="1128">
        <v>0</v>
      </c>
      <c r="S31" s="1128">
        <v>0.74242424242424199</v>
      </c>
      <c r="T31" s="1128">
        <v>0</v>
      </c>
      <c r="U31" s="1128">
        <v>0</v>
      </c>
      <c r="V31" s="1128">
        <v>0</v>
      </c>
      <c r="X31" s="1128">
        <f t="shared" si="1"/>
        <v>4.0202020202020199</v>
      </c>
      <c r="Y31" s="1128">
        <f t="shared" si="1"/>
        <v>0</v>
      </c>
      <c r="Z31" s="1128">
        <f t="shared" si="2"/>
        <v>5.0252525252525349</v>
      </c>
      <c r="AA31" s="1128">
        <f t="shared" si="2"/>
        <v>0</v>
      </c>
      <c r="AB31" s="1128">
        <f t="shared" si="3"/>
        <v>41.207070707070692</v>
      </c>
      <c r="AC31" s="1128">
        <f t="shared" si="3"/>
        <v>0</v>
      </c>
      <c r="AD31" s="1128">
        <f t="shared" si="4"/>
        <v>1.005050505050505</v>
      </c>
      <c r="AE31" s="1128">
        <f t="shared" si="4"/>
        <v>0</v>
      </c>
      <c r="AF31" s="1128">
        <f t="shared" si="5"/>
        <v>147.74242424242416</v>
      </c>
      <c r="AG31" s="1128">
        <f t="shared" si="5"/>
        <v>0</v>
      </c>
      <c r="AH31" s="1128">
        <f t="shared" si="6"/>
        <v>0</v>
      </c>
      <c r="AI31" s="1128">
        <f t="shared" si="6"/>
        <v>0</v>
      </c>
      <c r="AL31" s="1128">
        <v>7.0588235294117604E-2</v>
      </c>
      <c r="AM31" s="1128">
        <v>0</v>
      </c>
      <c r="AO31">
        <f t="shared" si="7"/>
        <v>14.047058823529403</v>
      </c>
      <c r="AP31">
        <f t="shared" si="7"/>
        <v>0</v>
      </c>
      <c r="AS31" s="309">
        <v>5.52763819095477E-2</v>
      </c>
      <c r="AT31" s="309">
        <v>0</v>
      </c>
      <c r="AU31" s="309">
        <f t="shared" si="8"/>
        <v>-4.4723618090452305E-2</v>
      </c>
      <c r="AV31" s="1142">
        <f t="shared" si="8"/>
        <v>-0.1</v>
      </c>
      <c r="AX31">
        <f t="shared" si="9"/>
        <v>0</v>
      </c>
      <c r="AY31">
        <f t="shared" si="9"/>
        <v>0</v>
      </c>
      <c r="BA31" s="1128">
        <v>5.4945054945054949E-3</v>
      </c>
      <c r="BC31">
        <f t="shared" si="11"/>
        <v>1.0934065934065935</v>
      </c>
      <c r="BF31">
        <v>0</v>
      </c>
      <c r="BG31" s="1128"/>
    </row>
    <row r="32" spans="1:59" x14ac:dyDescent="0.2">
      <c r="A32" s="197" t="s">
        <v>70</v>
      </c>
      <c r="B32" s="1126">
        <v>2518</v>
      </c>
      <c r="C32" s="1127">
        <v>297</v>
      </c>
      <c r="D32" s="1127">
        <v>0</v>
      </c>
      <c r="E32" s="1128">
        <v>0.51700680272108834</v>
      </c>
      <c r="F32" s="1128">
        <v>0</v>
      </c>
      <c r="G32" s="1128">
        <f t="shared" si="0"/>
        <v>153.55102040816323</v>
      </c>
      <c r="H32" s="1128">
        <f t="shared" si="0"/>
        <v>0</v>
      </c>
      <c r="K32" s="1128">
        <v>3.3783783783783799E-3</v>
      </c>
      <c r="L32" s="1128">
        <v>0</v>
      </c>
      <c r="M32" s="1128">
        <v>0.19256756756756799</v>
      </c>
      <c r="N32" s="1128">
        <v>0</v>
      </c>
      <c r="O32" s="1128">
        <v>0.49662162162162199</v>
      </c>
      <c r="P32" s="1128">
        <v>0</v>
      </c>
      <c r="Q32" s="1128">
        <v>7.0945945945945901E-2</v>
      </c>
      <c r="R32" s="1128">
        <v>0</v>
      </c>
      <c r="S32" s="1128">
        <v>0.17567567567567599</v>
      </c>
      <c r="T32" s="1128">
        <v>0</v>
      </c>
      <c r="U32" s="1128">
        <v>1.35135135135135E-2</v>
      </c>
      <c r="V32" s="1128">
        <v>0</v>
      </c>
      <c r="X32" s="1128">
        <f t="shared" si="1"/>
        <v>1.0033783783783787</v>
      </c>
      <c r="Y32" s="1128">
        <f t="shared" si="1"/>
        <v>0</v>
      </c>
      <c r="Z32" s="1128">
        <f t="shared" si="2"/>
        <v>57.192567567567693</v>
      </c>
      <c r="AA32" s="1128">
        <f t="shared" si="2"/>
        <v>0</v>
      </c>
      <c r="AB32" s="1128">
        <f t="shared" si="3"/>
        <v>147.49662162162173</v>
      </c>
      <c r="AC32" s="1128">
        <f t="shared" si="3"/>
        <v>0</v>
      </c>
      <c r="AD32" s="1128">
        <f t="shared" si="4"/>
        <v>21.070945945945933</v>
      </c>
      <c r="AE32" s="1128">
        <f t="shared" si="4"/>
        <v>0</v>
      </c>
      <c r="AF32" s="1128">
        <f t="shared" si="5"/>
        <v>52.17567567567577</v>
      </c>
      <c r="AG32" s="1128">
        <f t="shared" si="5"/>
        <v>0</v>
      </c>
      <c r="AH32" s="1128">
        <f t="shared" si="6"/>
        <v>4.0135135135135096</v>
      </c>
      <c r="AI32" s="1128">
        <f t="shared" si="6"/>
        <v>0</v>
      </c>
      <c r="AL32" s="1128">
        <v>0.417004048582996</v>
      </c>
      <c r="AM32" s="1128">
        <v>0</v>
      </c>
      <c r="AO32">
        <f t="shared" si="7"/>
        <v>123.85020242914982</v>
      </c>
      <c r="AP32">
        <f t="shared" si="7"/>
        <v>0</v>
      </c>
      <c r="AS32" s="309">
        <v>0.28956228956229002</v>
      </c>
      <c r="AT32" s="309">
        <v>0</v>
      </c>
      <c r="AU32" s="309">
        <f t="shared" si="8"/>
        <v>0.18956228956229002</v>
      </c>
      <c r="AV32" s="1142">
        <f t="shared" si="8"/>
        <v>-0.1</v>
      </c>
      <c r="AX32">
        <f t="shared" si="9"/>
        <v>56.300000000000132</v>
      </c>
      <c r="AY32">
        <f t="shared" si="9"/>
        <v>0</v>
      </c>
      <c r="BA32" s="1128">
        <v>6.8027210884353739E-3</v>
      </c>
      <c r="BC32">
        <f t="shared" si="11"/>
        <v>2.0204081632653059</v>
      </c>
      <c r="BF32">
        <v>0</v>
      </c>
      <c r="BG32" s="1128"/>
    </row>
    <row r="33" spans="1:59" x14ac:dyDescent="0.2">
      <c r="A33" s="197" t="s">
        <v>71</v>
      </c>
      <c r="B33" s="1126">
        <v>2457</v>
      </c>
      <c r="C33" s="1127">
        <v>358</v>
      </c>
      <c r="D33" s="1127">
        <v>0</v>
      </c>
      <c r="E33" s="1128">
        <v>0.26780626780626782</v>
      </c>
      <c r="F33" s="1128">
        <v>0</v>
      </c>
      <c r="G33" s="1128">
        <f t="shared" si="0"/>
        <v>95.87464387464388</v>
      </c>
      <c r="H33" s="1128">
        <f t="shared" si="0"/>
        <v>0</v>
      </c>
      <c r="K33" s="1128">
        <v>6.4606741573033699E-2</v>
      </c>
      <c r="L33" s="1128">
        <v>0</v>
      </c>
      <c r="M33" s="1128">
        <v>2.8089887640449398E-3</v>
      </c>
      <c r="N33" s="1128">
        <v>0</v>
      </c>
      <c r="O33" s="1128">
        <v>0.23033707865168501</v>
      </c>
      <c r="P33" s="1128">
        <v>0</v>
      </c>
      <c r="Q33" s="1128">
        <v>6.1797752808988797E-2</v>
      </c>
      <c r="R33" s="1128">
        <v>0</v>
      </c>
      <c r="S33" s="1128">
        <v>1.6853932584269701E-2</v>
      </c>
      <c r="T33" s="1128">
        <v>0</v>
      </c>
      <c r="U33" s="1128">
        <v>3.0898876404494399E-2</v>
      </c>
      <c r="V33" s="1128">
        <v>0</v>
      </c>
      <c r="X33" s="1128">
        <f t="shared" si="1"/>
        <v>23.129213483146064</v>
      </c>
      <c r="Y33" s="1128">
        <f t="shared" si="1"/>
        <v>0</v>
      </c>
      <c r="Z33" s="1128">
        <f t="shared" si="2"/>
        <v>1.0056179775280885</v>
      </c>
      <c r="AA33" s="1128">
        <f t="shared" si="2"/>
        <v>0</v>
      </c>
      <c r="AB33" s="1128">
        <f t="shared" si="3"/>
        <v>82.460674157303231</v>
      </c>
      <c r="AC33" s="1128">
        <f t="shared" si="3"/>
        <v>0</v>
      </c>
      <c r="AD33" s="1128">
        <f t="shared" si="4"/>
        <v>22.123595505617988</v>
      </c>
      <c r="AE33" s="1128">
        <f t="shared" si="4"/>
        <v>0</v>
      </c>
      <c r="AF33" s="1128">
        <f t="shared" si="5"/>
        <v>6.0337078651685525</v>
      </c>
      <c r="AG33" s="1128">
        <f t="shared" si="5"/>
        <v>0</v>
      </c>
      <c r="AH33" s="1128">
        <f t="shared" si="6"/>
        <v>11.061797752808994</v>
      </c>
      <c r="AI33" s="1128">
        <f t="shared" si="6"/>
        <v>0</v>
      </c>
      <c r="AL33" s="1128">
        <v>7.5418994413407797E-2</v>
      </c>
      <c r="AM33" s="1128">
        <v>0</v>
      </c>
      <c r="AO33">
        <f t="shared" si="7"/>
        <v>26.999999999999993</v>
      </c>
      <c r="AP33">
        <f t="shared" si="7"/>
        <v>0</v>
      </c>
      <c r="AS33" s="309">
        <v>4.7486033519553099E-2</v>
      </c>
      <c r="AT33" s="309">
        <v>0</v>
      </c>
      <c r="AU33" s="309">
        <f t="shared" si="8"/>
        <v>-5.2513966480446907E-2</v>
      </c>
      <c r="AV33" s="1142">
        <f t="shared" si="8"/>
        <v>-0.1</v>
      </c>
      <c r="AX33">
        <f t="shared" si="9"/>
        <v>0</v>
      </c>
      <c r="AY33">
        <f t="shared" si="9"/>
        <v>0</v>
      </c>
      <c r="BA33" s="1128">
        <v>8.5470085470085479E-3</v>
      </c>
      <c r="BC33">
        <f t="shared" si="11"/>
        <v>3.0598290598290601</v>
      </c>
      <c r="BF33">
        <v>0</v>
      </c>
      <c r="BG33" s="1128"/>
    </row>
    <row r="34" spans="1:59" x14ac:dyDescent="0.2">
      <c r="A34" s="197" t="s">
        <v>72</v>
      </c>
      <c r="B34" s="220">
        <v>2010</v>
      </c>
      <c r="C34" s="1127">
        <v>193</v>
      </c>
      <c r="D34" s="1127">
        <v>0</v>
      </c>
      <c r="E34" s="1128">
        <v>0.5536723163841808</v>
      </c>
      <c r="F34" s="1128">
        <v>0</v>
      </c>
      <c r="G34" s="1128">
        <f t="shared" si="0"/>
        <v>106.85875706214689</v>
      </c>
      <c r="H34" s="1128">
        <f t="shared" si="0"/>
        <v>0</v>
      </c>
      <c r="K34" s="1128">
        <v>6.7357512953367907E-2</v>
      </c>
      <c r="L34" s="1128">
        <v>0</v>
      </c>
      <c r="M34" s="1128">
        <v>1.55440414507772E-2</v>
      </c>
      <c r="N34" s="1128">
        <v>0</v>
      </c>
      <c r="O34" s="1128">
        <v>0.39896373056994799</v>
      </c>
      <c r="P34" s="1128">
        <v>0</v>
      </c>
      <c r="Q34" s="1128">
        <v>0.30051813471502598</v>
      </c>
      <c r="R34" s="1128">
        <v>0</v>
      </c>
      <c r="S34" s="1128">
        <v>2.0725388601036301E-2</v>
      </c>
      <c r="T34" s="1128">
        <v>0</v>
      </c>
      <c r="U34" s="1128">
        <v>0.124352331606218</v>
      </c>
      <c r="V34" s="1128">
        <v>0</v>
      </c>
      <c r="X34" s="1128">
        <f t="shared" si="1"/>
        <v>13.000000000000005</v>
      </c>
      <c r="Y34" s="1128">
        <f t="shared" si="1"/>
        <v>0</v>
      </c>
      <c r="Z34" s="1128">
        <f t="shared" si="2"/>
        <v>2.9999999999999996</v>
      </c>
      <c r="AA34" s="1128">
        <f t="shared" si="2"/>
        <v>0</v>
      </c>
      <c r="AB34" s="1128">
        <f t="shared" si="3"/>
        <v>76.999999999999957</v>
      </c>
      <c r="AC34" s="1128">
        <f t="shared" si="3"/>
        <v>0</v>
      </c>
      <c r="AD34" s="1128">
        <f t="shared" si="4"/>
        <v>58.000000000000014</v>
      </c>
      <c r="AE34" s="1128">
        <f t="shared" si="4"/>
        <v>0</v>
      </c>
      <c r="AF34" s="1128">
        <f t="shared" si="5"/>
        <v>4.0000000000000062</v>
      </c>
      <c r="AG34" s="1128">
        <f t="shared" si="5"/>
        <v>0</v>
      </c>
      <c r="AH34" s="1128">
        <f t="shared" si="6"/>
        <v>24.000000000000075</v>
      </c>
      <c r="AI34" s="1128">
        <f t="shared" si="6"/>
        <v>0</v>
      </c>
      <c r="AL34" s="1128">
        <v>0.14723926380368099</v>
      </c>
      <c r="AM34" s="1128">
        <v>0</v>
      </c>
      <c r="AO34">
        <f t="shared" si="7"/>
        <v>28.417177914110432</v>
      </c>
      <c r="AP34">
        <f t="shared" si="7"/>
        <v>0</v>
      </c>
      <c r="AS34" s="1147">
        <v>0.82383419689119197</v>
      </c>
      <c r="AT34" s="309">
        <v>0</v>
      </c>
      <c r="AU34" s="309">
        <f t="shared" si="8"/>
        <v>0.72383419689119199</v>
      </c>
      <c r="AV34" s="1142">
        <f t="shared" si="8"/>
        <v>-0.1</v>
      </c>
      <c r="AX34">
        <f t="shared" si="9"/>
        <v>139.70000000000005</v>
      </c>
      <c r="AY34">
        <f t="shared" si="9"/>
        <v>0</v>
      </c>
      <c r="BA34" s="1128">
        <v>0</v>
      </c>
      <c r="BC34">
        <f t="shared" si="11"/>
        <v>0</v>
      </c>
      <c r="BF34">
        <v>0</v>
      </c>
      <c r="BG34" s="1128"/>
    </row>
    <row r="35" spans="1:59" x14ac:dyDescent="0.2">
      <c r="A35" s="197" t="s">
        <v>73</v>
      </c>
      <c r="B35" s="1126">
        <v>2002</v>
      </c>
      <c r="C35" s="1127">
        <v>426</v>
      </c>
      <c r="D35" s="1127">
        <v>0</v>
      </c>
      <c r="E35" s="1128">
        <v>9.5794392523364483E-2</v>
      </c>
      <c r="F35" s="1128">
        <v>0</v>
      </c>
      <c r="G35" s="1128">
        <f t="shared" ref="G35:H66" si="12">E35*C35</f>
        <v>40.808411214953267</v>
      </c>
      <c r="H35" s="1128">
        <f t="shared" si="12"/>
        <v>0</v>
      </c>
      <c r="K35" s="1128">
        <v>0.22985781990521301</v>
      </c>
      <c r="L35" s="1128">
        <v>0</v>
      </c>
      <c r="M35" s="1128">
        <v>0</v>
      </c>
      <c r="N35" s="1128">
        <v>0</v>
      </c>
      <c r="O35" s="1128">
        <v>1.4218009478673001E-2</v>
      </c>
      <c r="P35" s="1128">
        <v>0</v>
      </c>
      <c r="Q35" s="1128">
        <v>0</v>
      </c>
      <c r="R35" s="1128">
        <v>0</v>
      </c>
      <c r="S35" s="1128">
        <v>0</v>
      </c>
      <c r="T35" s="1128">
        <v>0</v>
      </c>
      <c r="U35" s="1128">
        <v>0</v>
      </c>
      <c r="V35" s="1128">
        <v>0</v>
      </c>
      <c r="X35" s="1128">
        <f t="shared" ref="X35:Y66" si="13">K35*C35</f>
        <v>97.919431279620738</v>
      </c>
      <c r="Y35" s="1128">
        <f t="shared" si="13"/>
        <v>0</v>
      </c>
      <c r="Z35" s="1128">
        <f t="shared" ref="Z35:AA66" si="14">M35*C35</f>
        <v>0</v>
      </c>
      <c r="AA35" s="1128">
        <f t="shared" si="14"/>
        <v>0</v>
      </c>
      <c r="AB35" s="1128">
        <f t="shared" ref="AB35:AC66" si="15">O35*C35</f>
        <v>6.0568720379146983</v>
      </c>
      <c r="AC35" s="1128">
        <f t="shared" si="15"/>
        <v>0</v>
      </c>
      <c r="AD35" s="1128">
        <f t="shared" ref="AD35:AE66" si="16">Q35*C35</f>
        <v>0</v>
      </c>
      <c r="AE35" s="1128">
        <f t="shared" si="16"/>
        <v>0</v>
      </c>
      <c r="AF35" s="1128">
        <f t="shared" ref="AF35:AG66" si="17">S35*C35</f>
        <v>0</v>
      </c>
      <c r="AG35" s="1128">
        <f t="shared" si="17"/>
        <v>0</v>
      </c>
      <c r="AH35" s="1128">
        <f t="shared" ref="AH35:AI66" si="18">U35*C35</f>
        <v>0</v>
      </c>
      <c r="AI35" s="1128">
        <f t="shared" si="18"/>
        <v>0</v>
      </c>
      <c r="AL35" s="1128">
        <v>2.7322404371584699E-2</v>
      </c>
      <c r="AM35" s="1128">
        <v>0</v>
      </c>
      <c r="AO35">
        <f t="shared" ref="AO35:AP66" si="19">AL35*C35</f>
        <v>11.639344262295081</v>
      </c>
      <c r="AP35">
        <f t="shared" si="19"/>
        <v>0</v>
      </c>
      <c r="AS35" s="309">
        <v>4.46009389671361E-2</v>
      </c>
      <c r="AT35" s="309">
        <v>0</v>
      </c>
      <c r="AU35" s="309">
        <f t="shared" si="8"/>
        <v>-5.5399061032863905E-2</v>
      </c>
      <c r="AV35" s="1142">
        <f t="shared" si="8"/>
        <v>-0.1</v>
      </c>
      <c r="AX35">
        <f t="shared" si="9"/>
        <v>0</v>
      </c>
      <c r="AY35">
        <f t="shared" si="9"/>
        <v>0</v>
      </c>
      <c r="BA35" s="1128">
        <v>2.3364485981308409E-3</v>
      </c>
      <c r="BC35">
        <f t="shared" si="11"/>
        <v>0.99532710280373826</v>
      </c>
      <c r="BF35">
        <v>0</v>
      </c>
      <c r="BG35" s="1128"/>
    </row>
    <row r="36" spans="1:59" x14ac:dyDescent="0.2">
      <c r="A36" s="197" t="s">
        <v>74</v>
      </c>
      <c r="B36" s="1126">
        <v>3544</v>
      </c>
      <c r="C36" s="1127">
        <v>537</v>
      </c>
      <c r="D36" s="1127">
        <v>0</v>
      </c>
      <c r="E36" s="1128">
        <v>0.41743970315398859</v>
      </c>
      <c r="F36" s="1128">
        <v>0</v>
      </c>
      <c r="G36" s="1128">
        <f t="shared" si="12"/>
        <v>224.16512059369188</v>
      </c>
      <c r="H36" s="1128">
        <f t="shared" si="12"/>
        <v>0</v>
      </c>
      <c r="K36" s="1128">
        <v>1.8621973929236499E-3</v>
      </c>
      <c r="L36" s="1128">
        <v>0</v>
      </c>
      <c r="M36" s="1128">
        <v>0.19180633147113599</v>
      </c>
      <c r="N36" s="1128">
        <v>0</v>
      </c>
      <c r="O36" s="1128">
        <v>0.43202979515828699</v>
      </c>
      <c r="P36" s="1128">
        <v>0</v>
      </c>
      <c r="Q36" s="1128">
        <v>0.15083798882681601</v>
      </c>
      <c r="R36" s="1128">
        <v>0</v>
      </c>
      <c r="S36" s="1128">
        <v>0.171322160148976</v>
      </c>
      <c r="T36" s="1128">
        <v>0</v>
      </c>
      <c r="U36" s="1128">
        <v>1.4897579143389199E-2</v>
      </c>
      <c r="V36" s="1128">
        <v>0</v>
      </c>
      <c r="X36" s="1128">
        <f t="shared" si="13"/>
        <v>1</v>
      </c>
      <c r="Y36" s="1128">
        <f t="shared" si="13"/>
        <v>0</v>
      </c>
      <c r="Z36" s="1128">
        <f t="shared" si="14"/>
        <v>103.00000000000003</v>
      </c>
      <c r="AA36" s="1128">
        <f t="shared" si="14"/>
        <v>0</v>
      </c>
      <c r="AB36" s="1128">
        <f t="shared" si="15"/>
        <v>232.00000000000011</v>
      </c>
      <c r="AC36" s="1128">
        <f t="shared" si="15"/>
        <v>0</v>
      </c>
      <c r="AD36" s="1128">
        <f t="shared" si="16"/>
        <v>81.000000000000199</v>
      </c>
      <c r="AE36" s="1128">
        <f t="shared" si="16"/>
        <v>0</v>
      </c>
      <c r="AF36" s="1128">
        <f t="shared" si="17"/>
        <v>92.000000000000114</v>
      </c>
      <c r="AG36" s="1128">
        <f t="shared" si="17"/>
        <v>0</v>
      </c>
      <c r="AH36" s="1128">
        <f t="shared" si="18"/>
        <v>8</v>
      </c>
      <c r="AI36" s="1128">
        <f t="shared" si="18"/>
        <v>0</v>
      </c>
      <c r="AL36" s="1128">
        <v>0.45031712473572899</v>
      </c>
      <c r="AM36" s="1128">
        <v>0</v>
      </c>
      <c r="AO36">
        <f t="shared" si="19"/>
        <v>241.82029598308648</v>
      </c>
      <c r="AP36">
        <f t="shared" si="19"/>
        <v>0</v>
      </c>
      <c r="AS36" s="309">
        <v>9.8696461824953494E-2</v>
      </c>
      <c r="AT36" s="309">
        <v>0</v>
      </c>
      <c r="AU36" s="309">
        <f t="shared" si="8"/>
        <v>-1.3035381750465119E-3</v>
      </c>
      <c r="AV36" s="1142">
        <f t="shared" si="8"/>
        <v>-0.1</v>
      </c>
      <c r="AX36">
        <f t="shared" si="9"/>
        <v>0</v>
      </c>
      <c r="AY36">
        <f t="shared" si="9"/>
        <v>0</v>
      </c>
      <c r="BA36" s="1128">
        <v>0</v>
      </c>
      <c r="BC36">
        <f t="shared" si="11"/>
        <v>0</v>
      </c>
      <c r="BF36">
        <v>0</v>
      </c>
      <c r="BG36" s="1128"/>
    </row>
    <row r="37" spans="1:59" x14ac:dyDescent="0.2">
      <c r="A37" s="197" t="s">
        <v>161</v>
      </c>
      <c r="B37" s="1126">
        <v>2006</v>
      </c>
      <c r="C37" s="1127">
        <v>246</v>
      </c>
      <c r="D37" s="1127">
        <v>0</v>
      </c>
      <c r="E37" s="1128">
        <v>5.5555555555555552E-2</v>
      </c>
      <c r="F37" s="1128">
        <v>0</v>
      </c>
      <c r="G37" s="1128">
        <f t="shared" si="12"/>
        <v>13.666666666666666</v>
      </c>
      <c r="H37" s="1128">
        <f t="shared" si="12"/>
        <v>0</v>
      </c>
      <c r="K37" s="1128">
        <v>0</v>
      </c>
      <c r="L37" s="1128">
        <v>0</v>
      </c>
      <c r="M37" s="1128">
        <v>1.2244897959183701E-2</v>
      </c>
      <c r="N37" s="1128">
        <v>0</v>
      </c>
      <c r="O37" s="1128">
        <v>8.1632653061224497E-3</v>
      </c>
      <c r="P37" s="1128">
        <v>0</v>
      </c>
      <c r="Q37" s="1128">
        <v>0</v>
      </c>
      <c r="R37" s="1128">
        <v>0</v>
      </c>
      <c r="S37" s="1128">
        <v>0</v>
      </c>
      <c r="T37" s="1128">
        <v>0</v>
      </c>
      <c r="U37" s="1128">
        <v>0</v>
      </c>
      <c r="V37" s="1128">
        <v>0</v>
      </c>
      <c r="X37" s="1128">
        <f t="shared" si="13"/>
        <v>0</v>
      </c>
      <c r="Y37" s="1128">
        <f t="shared" si="13"/>
        <v>0</v>
      </c>
      <c r="Z37" s="1128">
        <f t="shared" si="14"/>
        <v>3.0122448979591905</v>
      </c>
      <c r="AA37" s="1128">
        <f t="shared" si="14"/>
        <v>0</v>
      </c>
      <c r="AB37" s="1128">
        <f t="shared" si="15"/>
        <v>2.0081632653061225</v>
      </c>
      <c r="AC37" s="1128">
        <f t="shared" si="15"/>
        <v>0</v>
      </c>
      <c r="AD37" s="1128">
        <f t="shared" si="16"/>
        <v>0</v>
      </c>
      <c r="AE37" s="1128">
        <f t="shared" si="16"/>
        <v>0</v>
      </c>
      <c r="AF37" s="1128">
        <f t="shared" si="17"/>
        <v>0</v>
      </c>
      <c r="AG37" s="1128">
        <f t="shared" si="17"/>
        <v>0</v>
      </c>
      <c r="AH37" s="1128">
        <f t="shared" si="18"/>
        <v>0</v>
      </c>
      <c r="AI37" s="1128">
        <f t="shared" si="18"/>
        <v>0</v>
      </c>
      <c r="AL37" s="1128">
        <v>3.0150753768844199E-2</v>
      </c>
      <c r="AM37" s="1128">
        <v>0</v>
      </c>
      <c r="AO37">
        <f t="shared" si="19"/>
        <v>7.4170854271356728</v>
      </c>
      <c r="AP37">
        <f t="shared" si="19"/>
        <v>0</v>
      </c>
      <c r="AS37" s="309">
        <v>7.7235772357723595E-2</v>
      </c>
      <c r="AT37" s="309">
        <v>0</v>
      </c>
      <c r="AU37" s="309">
        <f t="shared" si="8"/>
        <v>-2.2764227642276411E-2</v>
      </c>
      <c r="AV37" s="1142">
        <f t="shared" si="8"/>
        <v>-0.1</v>
      </c>
      <c r="AX37">
        <f t="shared" si="9"/>
        <v>0</v>
      </c>
      <c r="AY37">
        <f t="shared" si="9"/>
        <v>0</v>
      </c>
      <c r="BA37" s="1128">
        <v>1.7094017094017096E-2</v>
      </c>
      <c r="BC37">
        <f t="shared" si="11"/>
        <v>4.2051282051282053</v>
      </c>
      <c r="BF37">
        <v>0</v>
      </c>
      <c r="BG37" s="1128"/>
    </row>
    <row r="38" spans="1:59" x14ac:dyDescent="0.2">
      <c r="A38" s="197" t="s">
        <v>76</v>
      </c>
      <c r="B38" s="1126">
        <v>2434</v>
      </c>
      <c r="C38" s="1127">
        <v>431</v>
      </c>
      <c r="D38" s="1127">
        <v>0</v>
      </c>
      <c r="E38" s="1128">
        <v>0.49999999999999994</v>
      </c>
      <c r="F38" s="1128">
        <v>0</v>
      </c>
      <c r="G38" s="1128">
        <f t="shared" si="12"/>
        <v>215.49999999999997</v>
      </c>
      <c r="H38" s="1128">
        <f t="shared" si="12"/>
        <v>0</v>
      </c>
      <c r="K38" s="1128">
        <v>2.2883295194508001E-3</v>
      </c>
      <c r="L38" s="1128">
        <v>0</v>
      </c>
      <c r="M38" s="1128">
        <v>6.8649885583523997E-3</v>
      </c>
      <c r="N38" s="1128">
        <v>0</v>
      </c>
      <c r="O38" s="1128">
        <v>0.36155606407322699</v>
      </c>
      <c r="P38" s="1128">
        <v>0</v>
      </c>
      <c r="Q38" s="1128">
        <v>0.48054919908466798</v>
      </c>
      <c r="R38" s="1128">
        <v>0</v>
      </c>
      <c r="S38" s="1128">
        <v>7.3226544622425602E-2</v>
      </c>
      <c r="T38" s="1128">
        <v>0</v>
      </c>
      <c r="U38" s="1128">
        <v>2.7459954233409599E-2</v>
      </c>
      <c r="V38" s="1128">
        <v>0</v>
      </c>
      <c r="X38" s="1128">
        <f t="shared" si="13"/>
        <v>0.98627002288329479</v>
      </c>
      <c r="Y38" s="1128">
        <f t="shared" si="13"/>
        <v>0</v>
      </c>
      <c r="Z38" s="1128">
        <f t="shared" si="14"/>
        <v>2.9588100686498842</v>
      </c>
      <c r="AA38" s="1128">
        <f t="shared" si="14"/>
        <v>0</v>
      </c>
      <c r="AB38" s="1128">
        <f t="shared" si="15"/>
        <v>155.83066361556084</v>
      </c>
      <c r="AC38" s="1128">
        <f t="shared" si="15"/>
        <v>0</v>
      </c>
      <c r="AD38" s="1128">
        <f t="shared" si="16"/>
        <v>207.11670480549191</v>
      </c>
      <c r="AE38" s="1128">
        <f t="shared" si="16"/>
        <v>0</v>
      </c>
      <c r="AF38" s="1128">
        <f t="shared" si="17"/>
        <v>31.560640732265433</v>
      </c>
      <c r="AG38" s="1128">
        <f t="shared" si="17"/>
        <v>0</v>
      </c>
      <c r="AH38" s="1128">
        <f t="shared" si="18"/>
        <v>11.835240274599537</v>
      </c>
      <c r="AI38" s="1128">
        <f t="shared" si="18"/>
        <v>0</v>
      </c>
      <c r="AL38" s="1128">
        <v>3.97727272727273E-2</v>
      </c>
      <c r="AM38" s="1128">
        <v>0</v>
      </c>
      <c r="AO38">
        <f t="shared" si="19"/>
        <v>17.142045454545467</v>
      </c>
      <c r="AP38">
        <f t="shared" si="19"/>
        <v>0</v>
      </c>
      <c r="AS38" s="309">
        <v>0.164785553047404</v>
      </c>
      <c r="AT38" s="309">
        <v>0</v>
      </c>
      <c r="AU38" s="309">
        <f t="shared" si="8"/>
        <v>6.4785553047403993E-2</v>
      </c>
      <c r="AV38" s="1142">
        <f t="shared" si="8"/>
        <v>-0.1</v>
      </c>
      <c r="AX38">
        <f t="shared" si="9"/>
        <v>27.92257336343112</v>
      </c>
      <c r="AY38">
        <f t="shared" si="9"/>
        <v>0</v>
      </c>
      <c r="BA38" s="1128">
        <v>3.2663316582914576E-2</v>
      </c>
      <c r="BC38">
        <f t="shared" si="11"/>
        <v>14.077889447236181</v>
      </c>
      <c r="BF38">
        <v>0</v>
      </c>
      <c r="BG38" s="1128"/>
    </row>
    <row r="39" spans="1:59" x14ac:dyDescent="0.2">
      <c r="A39" s="197" t="s">
        <v>77</v>
      </c>
      <c r="B39" s="1126">
        <v>2522</v>
      </c>
      <c r="C39" s="1127">
        <v>412</v>
      </c>
      <c r="D39" s="1127">
        <v>0</v>
      </c>
      <c r="E39" s="1128">
        <v>7.8431372549019607E-2</v>
      </c>
      <c r="F39" s="1128">
        <v>0</v>
      </c>
      <c r="G39" s="1128">
        <f t="shared" si="12"/>
        <v>32.313725490196077</v>
      </c>
      <c r="H39" s="1128">
        <f t="shared" si="12"/>
        <v>0</v>
      </c>
      <c r="K39" s="1128">
        <v>4.12621359223301E-2</v>
      </c>
      <c r="L39" s="1128">
        <v>0</v>
      </c>
      <c r="M39" s="1128">
        <v>4.85436893203883E-2</v>
      </c>
      <c r="N39" s="1128">
        <v>0</v>
      </c>
      <c r="O39" s="1128">
        <v>4.3689320388349502E-2</v>
      </c>
      <c r="P39" s="1128">
        <v>0</v>
      </c>
      <c r="Q39" s="1128">
        <v>2.18446601941748E-2</v>
      </c>
      <c r="R39" s="1128">
        <v>0</v>
      </c>
      <c r="S39" s="1128">
        <v>4.8543689320388302E-3</v>
      </c>
      <c r="T39" s="1128">
        <v>0</v>
      </c>
      <c r="U39" s="1128">
        <v>4.8543689320388302E-3</v>
      </c>
      <c r="V39" s="1128">
        <v>0</v>
      </c>
      <c r="X39" s="1128">
        <f t="shared" si="13"/>
        <v>17</v>
      </c>
      <c r="Y39" s="1128">
        <f t="shared" si="13"/>
        <v>0</v>
      </c>
      <c r="Z39" s="1128">
        <f t="shared" si="14"/>
        <v>19.999999999999979</v>
      </c>
      <c r="AA39" s="1128">
        <f t="shared" si="14"/>
        <v>0</v>
      </c>
      <c r="AB39" s="1128">
        <f t="shared" si="15"/>
        <v>17.999999999999996</v>
      </c>
      <c r="AC39" s="1128">
        <f t="shared" si="15"/>
        <v>0</v>
      </c>
      <c r="AD39" s="1128">
        <f t="shared" si="16"/>
        <v>9.0000000000000178</v>
      </c>
      <c r="AE39" s="1128">
        <f t="shared" si="16"/>
        <v>0</v>
      </c>
      <c r="AF39" s="1128">
        <f t="shared" si="17"/>
        <v>1.999999999999998</v>
      </c>
      <c r="AG39" s="1128">
        <f t="shared" si="17"/>
        <v>0</v>
      </c>
      <c r="AH39" s="1128">
        <f t="shared" si="18"/>
        <v>1.999999999999998</v>
      </c>
      <c r="AI39" s="1128">
        <f t="shared" si="18"/>
        <v>0</v>
      </c>
      <c r="AL39" s="1128">
        <v>2.5139664804469299E-2</v>
      </c>
      <c r="AM39" s="1128">
        <v>0</v>
      </c>
      <c r="AO39">
        <f t="shared" si="19"/>
        <v>10.357541899441351</v>
      </c>
      <c r="AP39">
        <f t="shared" si="19"/>
        <v>0</v>
      </c>
      <c r="AS39" s="309">
        <v>8.0097087378640797E-2</v>
      </c>
      <c r="AT39" s="309">
        <v>0</v>
      </c>
      <c r="AU39" s="309">
        <f t="shared" si="8"/>
        <v>-1.9902912621359209E-2</v>
      </c>
      <c r="AV39" s="1142">
        <f t="shared" si="8"/>
        <v>-0.1</v>
      </c>
      <c r="AX39">
        <f t="shared" si="9"/>
        <v>0</v>
      </c>
      <c r="AY39">
        <f t="shared" si="9"/>
        <v>0</v>
      </c>
      <c r="BA39" s="1128">
        <v>4.9019607843137254E-3</v>
      </c>
      <c r="BC39">
        <f t="shared" si="11"/>
        <v>2.0196078431372548</v>
      </c>
      <c r="BF39">
        <v>0</v>
      </c>
      <c r="BG39" s="1128"/>
    </row>
    <row r="40" spans="1:59" x14ac:dyDescent="0.2">
      <c r="A40" s="1145" t="s">
        <v>118</v>
      </c>
      <c r="B40" s="1146">
        <v>4181</v>
      </c>
      <c r="C40" s="1127">
        <v>0</v>
      </c>
      <c r="D40" s="1127">
        <v>1067</v>
      </c>
      <c r="E40" s="1128">
        <v>0</v>
      </c>
      <c r="F40" s="1128">
        <v>0.25321100917431194</v>
      </c>
      <c r="G40" s="1128">
        <f t="shared" si="12"/>
        <v>0</v>
      </c>
      <c r="H40" s="1128">
        <f t="shared" si="12"/>
        <v>270.17614678899082</v>
      </c>
      <c r="K40" s="1128">
        <v>0</v>
      </c>
      <c r="L40" s="1128">
        <v>0.105457909343201</v>
      </c>
      <c r="M40" s="1128">
        <v>0</v>
      </c>
      <c r="N40" s="1128">
        <v>5.1803885291396901E-2</v>
      </c>
      <c r="O40" s="1128">
        <v>0</v>
      </c>
      <c r="P40" s="1128">
        <v>0.172987974098057</v>
      </c>
      <c r="Q40" s="1128">
        <v>0</v>
      </c>
      <c r="R40" s="1128">
        <v>5.3654024051803903E-2</v>
      </c>
      <c r="S40" s="1128">
        <v>0</v>
      </c>
      <c r="T40" s="1128">
        <v>6.5679925994449606E-2</v>
      </c>
      <c r="U40" s="1128">
        <v>0</v>
      </c>
      <c r="V40" s="1128">
        <v>4.6253469010175798E-3</v>
      </c>
      <c r="X40" s="1128">
        <f t="shared" si="13"/>
        <v>0</v>
      </c>
      <c r="Y40" s="1128">
        <f t="shared" si="13"/>
        <v>112.52358926919547</v>
      </c>
      <c r="Z40" s="1128">
        <f t="shared" si="14"/>
        <v>0</v>
      </c>
      <c r="AA40" s="1128">
        <f t="shared" si="14"/>
        <v>55.274745605920494</v>
      </c>
      <c r="AB40" s="1128">
        <f t="shared" si="15"/>
        <v>0</v>
      </c>
      <c r="AC40" s="1128">
        <f t="shared" si="15"/>
        <v>184.57816836262683</v>
      </c>
      <c r="AD40" s="1128">
        <f t="shared" si="16"/>
        <v>0</v>
      </c>
      <c r="AE40" s="1128">
        <f t="shared" si="16"/>
        <v>57.248843663274762</v>
      </c>
      <c r="AF40" s="1128">
        <f t="shared" si="17"/>
        <v>0</v>
      </c>
      <c r="AG40" s="1128">
        <f t="shared" si="17"/>
        <v>70.080481036077728</v>
      </c>
      <c r="AH40" s="1128">
        <f t="shared" si="18"/>
        <v>0</v>
      </c>
      <c r="AI40" s="1128">
        <f t="shared" si="18"/>
        <v>4.9352451433857576</v>
      </c>
      <c r="AL40" s="1128">
        <v>0</v>
      </c>
      <c r="AM40" s="1128">
        <v>6.4635272391505103E-3</v>
      </c>
      <c r="AO40">
        <f t="shared" si="19"/>
        <v>0</v>
      </c>
      <c r="AP40">
        <f t="shared" si="19"/>
        <v>6.8965835641735946</v>
      </c>
      <c r="AS40" s="309">
        <v>0</v>
      </c>
      <c r="AT40" s="309">
        <v>5.8171745152354598E-2</v>
      </c>
      <c r="AU40" s="309">
        <f t="shared" si="8"/>
        <v>-0.1</v>
      </c>
      <c r="AV40" s="1142">
        <f t="shared" si="8"/>
        <v>-4.1828254847645407E-2</v>
      </c>
      <c r="AX40">
        <f t="shared" si="9"/>
        <v>0</v>
      </c>
      <c r="AY40">
        <f t="shared" si="9"/>
        <v>0</v>
      </c>
      <c r="BA40" s="1128">
        <v>2.7522935779816515E-3</v>
      </c>
      <c r="BC40">
        <f>BA40*D40</f>
        <v>2.9366972477064222</v>
      </c>
      <c r="BF40">
        <v>0.27932405566600399</v>
      </c>
      <c r="BG40" s="1128">
        <f>BF40*D40</f>
        <v>298.03876739562628</v>
      </c>
    </row>
    <row r="41" spans="1:59" x14ac:dyDescent="0.2">
      <c r="A41" s="197" t="s">
        <v>119</v>
      </c>
      <c r="B41" s="1126">
        <v>4182</v>
      </c>
      <c r="C41" s="1127">
        <v>0</v>
      </c>
      <c r="D41" s="1127">
        <v>1372</v>
      </c>
      <c r="E41" s="1128">
        <v>0</v>
      </c>
      <c r="F41" s="1128">
        <v>0.12876506024096385</v>
      </c>
      <c r="G41" s="1128">
        <f t="shared" si="12"/>
        <v>0</v>
      </c>
      <c r="H41" s="1128">
        <f t="shared" si="12"/>
        <v>176.6656626506024</v>
      </c>
      <c r="K41" s="1128">
        <v>0</v>
      </c>
      <c r="L41" s="1128">
        <v>9.7738876732312199E-2</v>
      </c>
      <c r="M41" s="1128">
        <v>0</v>
      </c>
      <c r="N41" s="1128">
        <v>3.7928519328957001E-2</v>
      </c>
      <c r="O41" s="1128">
        <v>0</v>
      </c>
      <c r="P41" s="1128">
        <v>2.3340627279358098E-2</v>
      </c>
      <c r="Q41" s="1128">
        <v>0</v>
      </c>
      <c r="R41" s="1128">
        <v>1.0211524434719199E-2</v>
      </c>
      <c r="S41" s="1128">
        <v>0</v>
      </c>
      <c r="T41" s="1128">
        <v>3.6469730123997101E-3</v>
      </c>
      <c r="U41" s="1128">
        <v>0</v>
      </c>
      <c r="V41" s="1128">
        <v>1.4587892049598801E-3</v>
      </c>
      <c r="X41" s="1128">
        <f t="shared" si="13"/>
        <v>0</v>
      </c>
      <c r="Y41" s="1128">
        <f t="shared" si="13"/>
        <v>134.09773887673234</v>
      </c>
      <c r="Z41" s="1128">
        <f t="shared" si="14"/>
        <v>0</v>
      </c>
      <c r="AA41" s="1128">
        <f t="shared" si="14"/>
        <v>52.037928519329007</v>
      </c>
      <c r="AB41" s="1128">
        <f t="shared" si="15"/>
        <v>0</v>
      </c>
      <c r="AC41" s="1128">
        <f t="shared" si="15"/>
        <v>32.02334062727931</v>
      </c>
      <c r="AD41" s="1128">
        <f t="shared" si="16"/>
        <v>0</v>
      </c>
      <c r="AE41" s="1128">
        <f t="shared" si="16"/>
        <v>14.010211524434741</v>
      </c>
      <c r="AF41" s="1128">
        <f t="shared" si="17"/>
        <v>0</v>
      </c>
      <c r="AG41" s="1128">
        <f t="shared" si="17"/>
        <v>5.003646973012402</v>
      </c>
      <c r="AH41" s="1128">
        <f t="shared" si="18"/>
        <v>0</v>
      </c>
      <c r="AI41" s="1128">
        <f t="shared" si="18"/>
        <v>2.0014587892049556</v>
      </c>
      <c r="AL41" s="1128">
        <v>0</v>
      </c>
      <c r="AM41" s="1128">
        <v>2.34089246525238E-2</v>
      </c>
      <c r="AO41">
        <f t="shared" si="19"/>
        <v>0</v>
      </c>
      <c r="AP41">
        <f t="shared" si="19"/>
        <v>32.11704462326265</v>
      </c>
      <c r="AS41" s="309">
        <v>0</v>
      </c>
      <c r="AT41" s="309">
        <v>2.7696793002915499E-2</v>
      </c>
      <c r="AU41" s="309">
        <f t="shared" si="8"/>
        <v>-0.1</v>
      </c>
      <c r="AV41" s="1142">
        <f t="shared" si="8"/>
        <v>-7.2303206997084507E-2</v>
      </c>
      <c r="AX41">
        <f t="shared" si="9"/>
        <v>0</v>
      </c>
      <c r="AY41">
        <f t="shared" si="9"/>
        <v>0</v>
      </c>
      <c r="BA41" s="1128">
        <v>4.5180722891566263E-3</v>
      </c>
      <c r="BC41">
        <f>BA41*D41</f>
        <v>6.1987951807228914</v>
      </c>
      <c r="BF41">
        <v>0.16749585406301801</v>
      </c>
      <c r="BG41" s="1128">
        <f>BF41*D41</f>
        <v>229.8043117744607</v>
      </c>
    </row>
    <row r="42" spans="1:59" x14ac:dyDescent="0.2">
      <c r="A42" s="197" t="s">
        <v>78</v>
      </c>
      <c r="B42" s="1126">
        <v>2436</v>
      </c>
      <c r="C42" s="1127">
        <v>321</v>
      </c>
      <c r="D42" s="1127">
        <v>0</v>
      </c>
      <c r="E42" s="1128">
        <v>0.14696485623003192</v>
      </c>
      <c r="F42" s="1128">
        <v>0</v>
      </c>
      <c r="G42" s="1128">
        <f t="shared" si="12"/>
        <v>47.175718849840244</v>
      </c>
      <c r="H42" s="1128">
        <f t="shared" si="12"/>
        <v>0</v>
      </c>
      <c r="K42" s="1128">
        <v>2.4767801857585099E-2</v>
      </c>
      <c r="L42" s="1128">
        <v>0</v>
      </c>
      <c r="M42" s="1128">
        <v>0.18885448916408701</v>
      </c>
      <c r="N42" s="1128">
        <v>0</v>
      </c>
      <c r="O42" s="1128">
        <v>0.157894736842105</v>
      </c>
      <c r="P42" s="1128">
        <v>0</v>
      </c>
      <c r="Q42" s="1128">
        <v>3.4055727554179599E-2</v>
      </c>
      <c r="R42" s="1128">
        <v>0</v>
      </c>
      <c r="S42" s="1128">
        <v>9.2879256965944304E-3</v>
      </c>
      <c r="T42" s="1128">
        <v>0</v>
      </c>
      <c r="U42" s="1128">
        <v>0</v>
      </c>
      <c r="V42" s="1128">
        <v>0</v>
      </c>
      <c r="X42" s="1128">
        <f t="shared" si="13"/>
        <v>7.9504643962848167</v>
      </c>
      <c r="Y42" s="1128">
        <f t="shared" si="13"/>
        <v>0</v>
      </c>
      <c r="Z42" s="1128">
        <f t="shared" si="14"/>
        <v>60.622291021671927</v>
      </c>
      <c r="AA42" s="1128">
        <f t="shared" si="14"/>
        <v>0</v>
      </c>
      <c r="AB42" s="1128">
        <f t="shared" si="15"/>
        <v>50.684210526315709</v>
      </c>
      <c r="AC42" s="1128">
        <f t="shared" si="15"/>
        <v>0</v>
      </c>
      <c r="AD42" s="1128">
        <f t="shared" si="16"/>
        <v>10.931888544891651</v>
      </c>
      <c r="AE42" s="1128">
        <f t="shared" si="16"/>
        <v>0</v>
      </c>
      <c r="AF42" s="1128">
        <f t="shared" si="17"/>
        <v>2.9814241486068123</v>
      </c>
      <c r="AG42" s="1128">
        <f t="shared" si="17"/>
        <v>0</v>
      </c>
      <c r="AH42" s="1128">
        <f t="shared" si="18"/>
        <v>0</v>
      </c>
      <c r="AI42" s="1128">
        <f t="shared" si="18"/>
        <v>0</v>
      </c>
      <c r="AL42" s="1128">
        <v>1.8939393939393898E-2</v>
      </c>
      <c r="AM42" s="1128">
        <v>0</v>
      </c>
      <c r="AO42">
        <f t="shared" si="19"/>
        <v>6.0795454545454417</v>
      </c>
      <c r="AP42">
        <f t="shared" si="19"/>
        <v>0</v>
      </c>
      <c r="AS42" s="309">
        <v>3.7037037037037E-2</v>
      </c>
      <c r="AT42" s="309">
        <v>0</v>
      </c>
      <c r="AU42" s="309">
        <f t="shared" si="8"/>
        <v>-6.2962962962962998E-2</v>
      </c>
      <c r="AV42" s="1142">
        <f t="shared" si="8"/>
        <v>-0.1</v>
      </c>
      <c r="AX42">
        <f t="shared" si="9"/>
        <v>0</v>
      </c>
      <c r="AY42">
        <f t="shared" si="9"/>
        <v>0</v>
      </c>
      <c r="BA42" s="1128">
        <v>6.3897763578274758E-3</v>
      </c>
      <c r="BC42">
        <f>BA42*C42</f>
        <v>2.0511182108626196</v>
      </c>
      <c r="BF42">
        <v>0</v>
      </c>
      <c r="BG42" s="1128"/>
    </row>
    <row r="43" spans="1:59" x14ac:dyDescent="0.2">
      <c r="A43" s="197" t="s">
        <v>79</v>
      </c>
      <c r="B43" s="1126">
        <v>2452</v>
      </c>
      <c r="C43" s="1127">
        <v>207</v>
      </c>
      <c r="D43" s="1127">
        <v>0</v>
      </c>
      <c r="E43" s="1128">
        <v>0.34975369458128069</v>
      </c>
      <c r="F43" s="1128">
        <v>0</v>
      </c>
      <c r="G43" s="1128">
        <f t="shared" si="12"/>
        <v>72.39901477832511</v>
      </c>
      <c r="H43" s="1128">
        <f t="shared" si="12"/>
        <v>0</v>
      </c>
      <c r="K43" s="1128">
        <v>4.39024390243902E-2</v>
      </c>
      <c r="L43" s="1128">
        <v>0</v>
      </c>
      <c r="M43" s="1128">
        <v>1.46341463414634E-2</v>
      </c>
      <c r="N43" s="1128">
        <v>0</v>
      </c>
      <c r="O43" s="1128">
        <v>0.53170731707317098</v>
      </c>
      <c r="P43" s="1128">
        <v>0</v>
      </c>
      <c r="Q43" s="1128">
        <v>1.46341463414634E-2</v>
      </c>
      <c r="R43" s="1128">
        <v>0</v>
      </c>
      <c r="S43" s="1128">
        <v>4.8780487804878099E-2</v>
      </c>
      <c r="T43" s="1128">
        <v>0</v>
      </c>
      <c r="U43" s="1128">
        <v>9.7560975609756097E-3</v>
      </c>
      <c r="V43" s="1128">
        <v>0</v>
      </c>
      <c r="X43" s="1128">
        <f t="shared" si="13"/>
        <v>9.0878048780487717</v>
      </c>
      <c r="Y43" s="1128">
        <f t="shared" si="13"/>
        <v>0</v>
      </c>
      <c r="Z43" s="1128">
        <f t="shared" si="14"/>
        <v>3.0292682926829237</v>
      </c>
      <c r="AA43" s="1128">
        <f t="shared" si="14"/>
        <v>0</v>
      </c>
      <c r="AB43" s="1128">
        <f t="shared" si="15"/>
        <v>110.0634146341464</v>
      </c>
      <c r="AC43" s="1128">
        <f t="shared" si="15"/>
        <v>0</v>
      </c>
      <c r="AD43" s="1128">
        <f t="shared" si="16"/>
        <v>3.0292682926829237</v>
      </c>
      <c r="AE43" s="1128">
        <f t="shared" si="16"/>
        <v>0</v>
      </c>
      <c r="AF43" s="1128">
        <f t="shared" si="17"/>
        <v>10.097560975609767</v>
      </c>
      <c r="AG43" s="1128">
        <f t="shared" si="17"/>
        <v>0</v>
      </c>
      <c r="AH43" s="1128">
        <f t="shared" si="18"/>
        <v>2.0195121951219512</v>
      </c>
      <c r="AI43" s="1128">
        <f t="shared" si="18"/>
        <v>0</v>
      </c>
      <c r="AL43" s="1128">
        <v>3.3519553072625698E-2</v>
      </c>
      <c r="AM43" s="1128">
        <v>0</v>
      </c>
      <c r="AO43">
        <f t="shared" si="19"/>
        <v>6.938547486033519</v>
      </c>
      <c r="AP43">
        <f t="shared" si="19"/>
        <v>0</v>
      </c>
      <c r="AS43" s="309">
        <v>3.8647342995169101E-2</v>
      </c>
      <c r="AT43" s="309">
        <v>0</v>
      </c>
      <c r="AU43" s="309">
        <f t="shared" si="8"/>
        <v>-6.1352657004830904E-2</v>
      </c>
      <c r="AV43" s="1142">
        <f t="shared" si="8"/>
        <v>-0.1</v>
      </c>
      <c r="AX43">
        <f t="shared" si="9"/>
        <v>0</v>
      </c>
      <c r="AY43">
        <f t="shared" si="9"/>
        <v>0</v>
      </c>
      <c r="BA43" s="1128">
        <v>4.9261083743842365E-3</v>
      </c>
      <c r="BC43">
        <f>BA43*C43</f>
        <v>1.0197044334975369</v>
      </c>
      <c r="BF43">
        <v>0</v>
      </c>
      <c r="BG43" s="1128"/>
    </row>
    <row r="44" spans="1:59" x14ac:dyDescent="0.2">
      <c r="A44" s="197" t="s">
        <v>120</v>
      </c>
      <c r="B44" s="221">
        <v>4001</v>
      </c>
      <c r="C44" s="1127">
        <v>0</v>
      </c>
      <c r="D44" s="1127">
        <v>765</v>
      </c>
      <c r="E44" s="1128">
        <v>0</v>
      </c>
      <c r="F44" s="1128">
        <v>0.61501787842669831</v>
      </c>
      <c r="G44" s="1128">
        <f t="shared" si="12"/>
        <v>0</v>
      </c>
      <c r="H44" s="1128">
        <f t="shared" si="12"/>
        <v>470.4886769964242</v>
      </c>
      <c r="K44" s="1128">
        <v>0</v>
      </c>
      <c r="L44" s="1128">
        <v>4.7368421052631601E-2</v>
      </c>
      <c r="M44" s="1128">
        <v>0</v>
      </c>
      <c r="N44" s="1128">
        <v>0.05</v>
      </c>
      <c r="O44" s="1128">
        <v>0</v>
      </c>
      <c r="P44" s="1128">
        <v>0.101315789473684</v>
      </c>
      <c r="Q44" s="1128">
        <v>0</v>
      </c>
      <c r="R44" s="1128">
        <v>0.27763157894736801</v>
      </c>
      <c r="S44" s="1128">
        <v>0</v>
      </c>
      <c r="T44" s="1128">
        <v>0.18552631578947401</v>
      </c>
      <c r="U44" s="1128">
        <v>0</v>
      </c>
      <c r="V44" s="1128">
        <v>0.231578947368421</v>
      </c>
      <c r="X44" s="1128">
        <f t="shared" si="13"/>
        <v>0</v>
      </c>
      <c r="Y44" s="1128">
        <f t="shared" si="13"/>
        <v>36.236842105263172</v>
      </c>
      <c r="Z44" s="1128">
        <f t="shared" si="14"/>
        <v>0</v>
      </c>
      <c r="AA44" s="1128">
        <f t="shared" si="14"/>
        <v>38.25</v>
      </c>
      <c r="AB44" s="1128">
        <f t="shared" si="15"/>
        <v>0</v>
      </c>
      <c r="AC44" s="1128">
        <f t="shared" si="15"/>
        <v>77.506578947368254</v>
      </c>
      <c r="AD44" s="1128">
        <f t="shared" si="16"/>
        <v>0</v>
      </c>
      <c r="AE44" s="1128">
        <f t="shared" si="16"/>
        <v>212.38815789473654</v>
      </c>
      <c r="AF44" s="1128">
        <f t="shared" si="17"/>
        <v>0</v>
      </c>
      <c r="AG44" s="1128">
        <f t="shared" si="17"/>
        <v>141.92763157894763</v>
      </c>
      <c r="AH44" s="1128">
        <f t="shared" si="18"/>
        <v>0</v>
      </c>
      <c r="AI44" s="1128">
        <f t="shared" si="18"/>
        <v>177.15789473684205</v>
      </c>
      <c r="AL44" s="1128">
        <v>0</v>
      </c>
      <c r="AM44" s="1128">
        <v>6.4136125654450302E-2</v>
      </c>
      <c r="AO44">
        <f t="shared" si="19"/>
        <v>0</v>
      </c>
      <c r="AP44">
        <f t="shared" si="19"/>
        <v>49.064136125654478</v>
      </c>
      <c r="AS44" s="309">
        <v>0</v>
      </c>
      <c r="AT44" s="1147">
        <v>0.78431372549019596</v>
      </c>
      <c r="AU44" s="309">
        <f t="shared" si="8"/>
        <v>-0.1</v>
      </c>
      <c r="AV44" s="1142">
        <f t="shared" si="8"/>
        <v>0.68431372549019598</v>
      </c>
      <c r="AX44">
        <f t="shared" si="9"/>
        <v>0</v>
      </c>
      <c r="AY44">
        <f t="shared" si="9"/>
        <v>523.49999999999989</v>
      </c>
      <c r="BA44" s="1128">
        <v>8.3333333333333332E-3</v>
      </c>
      <c r="BC44">
        <f>BA44*D44</f>
        <v>6.375</v>
      </c>
      <c r="BF44">
        <v>0.51159420289855095</v>
      </c>
      <c r="BG44" s="1128">
        <f>BF44*D44</f>
        <v>391.36956521739148</v>
      </c>
    </row>
    <row r="45" spans="1:59" x14ac:dyDescent="0.2">
      <c r="A45" s="197" t="s">
        <v>80</v>
      </c>
      <c r="B45" s="1126">
        <v>2627</v>
      </c>
      <c r="C45" s="1127">
        <v>388</v>
      </c>
      <c r="D45" s="1127">
        <v>0</v>
      </c>
      <c r="E45" s="1128">
        <v>8.4432717678100261E-2</v>
      </c>
      <c r="F45" s="1128">
        <v>0</v>
      </c>
      <c r="G45" s="1128">
        <f t="shared" si="12"/>
        <v>32.759894459102902</v>
      </c>
      <c r="H45" s="1128">
        <f t="shared" si="12"/>
        <v>0</v>
      </c>
      <c r="K45" s="1128">
        <v>4.1343669250645997E-2</v>
      </c>
      <c r="L45" s="1128">
        <v>0</v>
      </c>
      <c r="M45" s="1128">
        <v>3.35917312661499E-2</v>
      </c>
      <c r="N45" s="1128">
        <v>0</v>
      </c>
      <c r="O45" s="1128">
        <v>3.35917312661499E-2</v>
      </c>
      <c r="P45" s="1128">
        <v>0</v>
      </c>
      <c r="Q45" s="1128">
        <v>7.7519379844961196E-3</v>
      </c>
      <c r="R45" s="1128">
        <v>0</v>
      </c>
      <c r="S45" s="1128">
        <v>0</v>
      </c>
      <c r="T45" s="1128">
        <v>0</v>
      </c>
      <c r="U45" s="1128">
        <v>2.58397932816537E-3</v>
      </c>
      <c r="V45" s="1128">
        <v>0</v>
      </c>
      <c r="X45" s="1128">
        <f t="shared" si="13"/>
        <v>16.041343669250647</v>
      </c>
      <c r="Y45" s="1128">
        <f t="shared" si="13"/>
        <v>0</v>
      </c>
      <c r="Z45" s="1128">
        <f t="shared" si="14"/>
        <v>13.033591731266162</v>
      </c>
      <c r="AA45" s="1128">
        <f t="shared" si="14"/>
        <v>0</v>
      </c>
      <c r="AB45" s="1128">
        <f t="shared" si="15"/>
        <v>13.033591731266162</v>
      </c>
      <c r="AC45" s="1128">
        <f t="shared" si="15"/>
        <v>0</v>
      </c>
      <c r="AD45" s="1128">
        <f t="shared" si="16"/>
        <v>3.0077519379844944</v>
      </c>
      <c r="AE45" s="1128">
        <f t="shared" si="16"/>
        <v>0</v>
      </c>
      <c r="AF45" s="1128">
        <f t="shared" si="17"/>
        <v>0</v>
      </c>
      <c r="AG45" s="1128">
        <f t="shared" si="17"/>
        <v>0</v>
      </c>
      <c r="AH45" s="1128">
        <f t="shared" si="18"/>
        <v>1.0025839793281635</v>
      </c>
      <c r="AI45" s="1128">
        <f t="shared" si="18"/>
        <v>0</v>
      </c>
      <c r="AL45" s="1128">
        <v>7.8549848942598199E-2</v>
      </c>
      <c r="AM45" s="1128">
        <v>0</v>
      </c>
      <c r="AO45">
        <f t="shared" si="19"/>
        <v>30.477341389728103</v>
      </c>
      <c r="AP45">
        <f t="shared" si="19"/>
        <v>0</v>
      </c>
      <c r="AS45" s="309">
        <v>7.7319587628865996E-2</v>
      </c>
      <c r="AT45" s="309">
        <v>0</v>
      </c>
      <c r="AU45" s="309">
        <f t="shared" si="8"/>
        <v>-2.2680412371134009E-2</v>
      </c>
      <c r="AV45" s="1142">
        <f t="shared" si="8"/>
        <v>-0.1</v>
      </c>
      <c r="AX45">
        <f t="shared" si="9"/>
        <v>0</v>
      </c>
      <c r="AY45">
        <f t="shared" si="9"/>
        <v>0</v>
      </c>
      <c r="BA45" s="1128">
        <v>0</v>
      </c>
      <c r="BC45">
        <f>BA45*C45</f>
        <v>0</v>
      </c>
      <c r="BF45">
        <v>0</v>
      </c>
      <c r="BG45" s="1128"/>
    </row>
    <row r="46" spans="1:59" x14ac:dyDescent="0.2">
      <c r="A46" s="1148" t="s">
        <v>1072</v>
      </c>
      <c r="B46" s="1149">
        <v>2009</v>
      </c>
      <c r="C46" s="1127">
        <v>276</v>
      </c>
      <c r="D46" s="1127">
        <v>0</v>
      </c>
      <c r="E46" s="1128">
        <v>0.53454545454545432</v>
      </c>
      <c r="F46" s="1128">
        <v>0</v>
      </c>
      <c r="G46" s="1128">
        <f t="shared" si="12"/>
        <v>147.53454545454539</v>
      </c>
      <c r="H46" s="1128">
        <f t="shared" si="12"/>
        <v>0</v>
      </c>
      <c r="K46" s="1128">
        <v>1.8115942028985501E-2</v>
      </c>
      <c r="L46" s="1128">
        <v>0</v>
      </c>
      <c r="M46" s="1128">
        <v>3.6231884057971002E-2</v>
      </c>
      <c r="N46" s="1128">
        <v>0</v>
      </c>
      <c r="O46" s="1128">
        <v>3.2608695652173898E-2</v>
      </c>
      <c r="P46" s="1128">
        <v>0</v>
      </c>
      <c r="Q46" s="1128">
        <v>0.438405797101449</v>
      </c>
      <c r="R46" s="1128">
        <v>0</v>
      </c>
      <c r="S46" s="1128">
        <v>0.184782608695652</v>
      </c>
      <c r="T46" s="1128">
        <v>0</v>
      </c>
      <c r="U46" s="1128">
        <v>0.15217391304347799</v>
      </c>
      <c r="V46" s="1128">
        <v>0</v>
      </c>
      <c r="X46" s="1128">
        <f t="shared" si="13"/>
        <v>4.9999999999999982</v>
      </c>
      <c r="Y46" s="1128">
        <f t="shared" si="13"/>
        <v>0</v>
      </c>
      <c r="Z46" s="1128">
        <f t="shared" si="14"/>
        <v>9.9999999999999964</v>
      </c>
      <c r="AA46" s="1128">
        <f t="shared" si="14"/>
        <v>0</v>
      </c>
      <c r="AB46" s="1128">
        <f t="shared" si="15"/>
        <v>8.9999999999999964</v>
      </c>
      <c r="AC46" s="1128">
        <f t="shared" si="15"/>
        <v>0</v>
      </c>
      <c r="AD46" s="1128">
        <f t="shared" si="16"/>
        <v>120.99999999999993</v>
      </c>
      <c r="AE46" s="1128">
        <f t="shared" si="16"/>
        <v>0</v>
      </c>
      <c r="AF46" s="1128">
        <f t="shared" si="17"/>
        <v>50.99999999999995</v>
      </c>
      <c r="AG46" s="1128">
        <f t="shared" si="17"/>
        <v>0</v>
      </c>
      <c r="AH46" s="1128">
        <f t="shared" si="18"/>
        <v>41.999999999999929</v>
      </c>
      <c r="AI46" s="1128">
        <f t="shared" si="18"/>
        <v>0</v>
      </c>
      <c r="AL46" s="1128">
        <v>4.1095890410958902E-2</v>
      </c>
      <c r="AM46" s="1128">
        <v>0</v>
      </c>
      <c r="AO46">
        <f t="shared" si="19"/>
        <v>11.342465753424657</v>
      </c>
      <c r="AP46">
        <f t="shared" si="19"/>
        <v>0</v>
      </c>
      <c r="AS46" s="309">
        <v>4.7101449275362299E-2</v>
      </c>
      <c r="AT46" s="309">
        <v>0</v>
      </c>
      <c r="AU46" s="309">
        <f t="shared" si="8"/>
        <v>-5.2898550724637707E-2</v>
      </c>
      <c r="AV46" s="1142">
        <f t="shared" si="8"/>
        <v>-0.1</v>
      </c>
      <c r="AX46">
        <f t="shared" si="9"/>
        <v>0</v>
      </c>
      <c r="AY46">
        <f t="shared" si="9"/>
        <v>0</v>
      </c>
      <c r="BA46" s="1128">
        <v>0</v>
      </c>
      <c r="BC46">
        <f>BA46*C46</f>
        <v>0</v>
      </c>
      <c r="BF46">
        <v>0</v>
      </c>
      <c r="BG46" s="1128"/>
    </row>
    <row r="47" spans="1:59" x14ac:dyDescent="0.2">
      <c r="A47" s="197" t="s">
        <v>173</v>
      </c>
      <c r="B47" s="1126">
        <v>5406</v>
      </c>
      <c r="C47" s="1127">
        <v>0</v>
      </c>
      <c r="D47" s="1127">
        <v>850</v>
      </c>
      <c r="E47" s="1128">
        <v>0</v>
      </c>
      <c r="F47" s="1128">
        <v>0.32817679558011048</v>
      </c>
      <c r="G47" s="1128">
        <f t="shared" si="12"/>
        <v>0</v>
      </c>
      <c r="H47" s="1128">
        <f t="shared" si="12"/>
        <v>278.95027624309392</v>
      </c>
      <c r="K47" s="1128">
        <v>0</v>
      </c>
      <c r="L47" s="1128">
        <v>0.11111111111111099</v>
      </c>
      <c r="M47" s="1128">
        <v>0</v>
      </c>
      <c r="N47" s="1128">
        <v>0.18203309692671399</v>
      </c>
      <c r="O47" s="1128">
        <v>0</v>
      </c>
      <c r="P47" s="1128">
        <v>0.26122931442080399</v>
      </c>
      <c r="Q47" s="1128">
        <v>0</v>
      </c>
      <c r="R47" s="1128">
        <v>4.84633569739953E-2</v>
      </c>
      <c r="S47" s="1128">
        <v>0</v>
      </c>
      <c r="T47" s="1128">
        <v>6.6193853427895993E-2</v>
      </c>
      <c r="U47" s="1128">
        <v>0</v>
      </c>
      <c r="V47" s="1128">
        <v>1.6548463356973998E-2</v>
      </c>
      <c r="X47" s="1128">
        <f t="shared" si="13"/>
        <v>0</v>
      </c>
      <c r="Y47" s="1128">
        <f t="shared" si="13"/>
        <v>94.444444444444343</v>
      </c>
      <c r="Z47" s="1128">
        <f t="shared" si="14"/>
        <v>0</v>
      </c>
      <c r="AA47" s="1128">
        <f t="shared" si="14"/>
        <v>154.72813238770689</v>
      </c>
      <c r="AB47" s="1128">
        <f t="shared" si="15"/>
        <v>0</v>
      </c>
      <c r="AC47" s="1128">
        <f t="shared" si="15"/>
        <v>222.04491725768338</v>
      </c>
      <c r="AD47" s="1128">
        <f t="shared" si="16"/>
        <v>0</v>
      </c>
      <c r="AE47" s="1128">
        <f t="shared" si="16"/>
        <v>41.193853427896002</v>
      </c>
      <c r="AF47" s="1128">
        <f t="shared" si="17"/>
        <v>0</v>
      </c>
      <c r="AG47" s="1128">
        <f t="shared" si="17"/>
        <v>56.264775413711597</v>
      </c>
      <c r="AH47" s="1128">
        <f t="shared" si="18"/>
        <v>0</v>
      </c>
      <c r="AI47" s="1128">
        <f t="shared" si="18"/>
        <v>14.066193853427899</v>
      </c>
      <c r="AL47" s="1128">
        <v>0</v>
      </c>
      <c r="AM47" s="1128">
        <v>3.3175355450236997E-2</v>
      </c>
      <c r="AO47">
        <f t="shared" si="19"/>
        <v>0</v>
      </c>
      <c r="AP47">
        <f t="shared" si="19"/>
        <v>28.199052132701446</v>
      </c>
      <c r="AS47" s="309">
        <v>0</v>
      </c>
      <c r="AT47" s="309">
        <v>8.47058823529412E-2</v>
      </c>
      <c r="AU47" s="309">
        <f t="shared" si="8"/>
        <v>-0.1</v>
      </c>
      <c r="AV47" s="1142">
        <f t="shared" si="8"/>
        <v>-1.5294117647058805E-2</v>
      </c>
      <c r="AX47">
        <f t="shared" si="9"/>
        <v>0</v>
      </c>
      <c r="AY47">
        <f t="shared" si="9"/>
        <v>0</v>
      </c>
      <c r="BA47" s="1128">
        <v>5.5248618784530384E-3</v>
      </c>
      <c r="BC47">
        <f>BA47*D47</f>
        <v>4.6961325966850831</v>
      </c>
      <c r="BF47">
        <v>0.31154381084840099</v>
      </c>
      <c r="BG47" s="1128">
        <f>BF47*D47</f>
        <v>264.81223922114083</v>
      </c>
    </row>
    <row r="48" spans="1:59" x14ac:dyDescent="0.2">
      <c r="A48" s="197" t="s">
        <v>174</v>
      </c>
      <c r="B48" s="1126">
        <v>5407</v>
      </c>
      <c r="C48" s="1127">
        <v>0</v>
      </c>
      <c r="D48" s="1127">
        <v>995</v>
      </c>
      <c r="E48" s="1128">
        <v>0</v>
      </c>
      <c r="F48" s="1128">
        <v>0.42147922998986831</v>
      </c>
      <c r="G48" s="1128">
        <f t="shared" si="12"/>
        <v>0</v>
      </c>
      <c r="H48" s="1128">
        <f t="shared" si="12"/>
        <v>419.37183383991896</v>
      </c>
      <c r="K48" s="1128">
        <v>0</v>
      </c>
      <c r="L48" s="1128">
        <v>4.7236180904522598E-2</v>
      </c>
      <c r="M48" s="1128">
        <v>0</v>
      </c>
      <c r="N48" s="1128">
        <v>7.1356783919598002E-2</v>
      </c>
      <c r="O48" s="1128">
        <v>0</v>
      </c>
      <c r="P48" s="1128">
        <v>0.14974874371859301</v>
      </c>
      <c r="Q48" s="1128">
        <v>0</v>
      </c>
      <c r="R48" s="1128">
        <v>0.222110552763819</v>
      </c>
      <c r="S48" s="1128">
        <v>0</v>
      </c>
      <c r="T48" s="1128">
        <v>0.12964824120603</v>
      </c>
      <c r="U48" s="1128">
        <v>0</v>
      </c>
      <c r="V48" s="1128">
        <v>4.4221105527638201E-2</v>
      </c>
      <c r="X48" s="1128">
        <f t="shared" si="13"/>
        <v>0</v>
      </c>
      <c r="Y48" s="1128">
        <f t="shared" si="13"/>
        <v>46.999999999999986</v>
      </c>
      <c r="Z48" s="1128">
        <f t="shared" si="14"/>
        <v>0</v>
      </c>
      <c r="AA48" s="1128">
        <f t="shared" si="14"/>
        <v>71.000000000000014</v>
      </c>
      <c r="AB48" s="1128">
        <f t="shared" si="15"/>
        <v>0</v>
      </c>
      <c r="AC48" s="1128">
        <f t="shared" si="15"/>
        <v>149.00000000000006</v>
      </c>
      <c r="AD48" s="1128">
        <f t="shared" si="16"/>
        <v>0</v>
      </c>
      <c r="AE48" s="1128">
        <f t="shared" si="16"/>
        <v>220.99999999999991</v>
      </c>
      <c r="AF48" s="1128">
        <f t="shared" si="17"/>
        <v>0</v>
      </c>
      <c r="AG48" s="1128">
        <f t="shared" si="17"/>
        <v>128.99999999999986</v>
      </c>
      <c r="AH48" s="1128">
        <f t="shared" si="18"/>
        <v>0</v>
      </c>
      <c r="AI48" s="1128">
        <f t="shared" si="18"/>
        <v>44.000000000000007</v>
      </c>
      <c r="AL48" s="1128">
        <v>0</v>
      </c>
      <c r="AM48" s="1128">
        <v>1.8090452261306501E-2</v>
      </c>
      <c r="AO48">
        <f t="shared" si="19"/>
        <v>0</v>
      </c>
      <c r="AP48">
        <f t="shared" si="19"/>
        <v>17.999999999999968</v>
      </c>
      <c r="AS48" s="309">
        <v>0</v>
      </c>
      <c r="AT48" s="309">
        <v>8.0402010050251299E-2</v>
      </c>
      <c r="AU48" s="309">
        <f t="shared" si="8"/>
        <v>-0.1</v>
      </c>
      <c r="AV48" s="1142">
        <f t="shared" si="8"/>
        <v>-1.9597989949748706E-2</v>
      </c>
      <c r="AX48">
        <f t="shared" si="9"/>
        <v>0</v>
      </c>
      <c r="AY48">
        <f t="shared" si="9"/>
        <v>0</v>
      </c>
      <c r="BA48" s="1128">
        <v>5.0709939148073022E-3</v>
      </c>
      <c r="BC48">
        <f>BA48*D48</f>
        <v>5.0456389452332653</v>
      </c>
      <c r="BF48">
        <v>0.36609071274298099</v>
      </c>
      <c r="BG48" s="1128">
        <f>BF48*D48</f>
        <v>364.26025917926609</v>
      </c>
    </row>
    <row r="49" spans="1:59" x14ac:dyDescent="0.2">
      <c r="A49" s="197" t="s">
        <v>162</v>
      </c>
      <c r="B49" s="1126">
        <v>2473</v>
      </c>
      <c r="C49" s="1127">
        <v>267</v>
      </c>
      <c r="D49" s="1127">
        <v>0</v>
      </c>
      <c r="E49" s="1128">
        <v>0.33085501858736061</v>
      </c>
      <c r="F49" s="1128">
        <v>0</v>
      </c>
      <c r="G49" s="1128">
        <f t="shared" si="12"/>
        <v>88.338289962825286</v>
      </c>
      <c r="H49" s="1128">
        <f t="shared" si="12"/>
        <v>0</v>
      </c>
      <c r="K49" s="1128">
        <v>7.5471698113207496E-3</v>
      </c>
      <c r="L49" s="1128">
        <v>0</v>
      </c>
      <c r="M49" s="1128">
        <v>7.9245283018867907E-2</v>
      </c>
      <c r="N49" s="1128">
        <v>0</v>
      </c>
      <c r="O49" s="1128">
        <v>0.177358490566038</v>
      </c>
      <c r="P49" s="1128">
        <v>0</v>
      </c>
      <c r="Q49" s="1128">
        <v>0.135849056603774</v>
      </c>
      <c r="R49" s="1128">
        <v>0</v>
      </c>
      <c r="S49" s="1128">
        <v>0.24150943396226399</v>
      </c>
      <c r="T49" s="1128">
        <v>0</v>
      </c>
      <c r="U49" s="1128">
        <v>1.13207547169811E-2</v>
      </c>
      <c r="V49" s="1128">
        <v>0</v>
      </c>
      <c r="X49" s="1128">
        <f t="shared" si="13"/>
        <v>2.0150943396226402</v>
      </c>
      <c r="Y49" s="1128">
        <f t="shared" si="13"/>
        <v>0</v>
      </c>
      <c r="Z49" s="1128">
        <f t="shared" si="14"/>
        <v>21.158490566037731</v>
      </c>
      <c r="AA49" s="1128">
        <f t="shared" si="14"/>
        <v>0</v>
      </c>
      <c r="AB49" s="1128">
        <f t="shared" si="15"/>
        <v>47.35471698113215</v>
      </c>
      <c r="AC49" s="1128">
        <f t="shared" si="15"/>
        <v>0</v>
      </c>
      <c r="AD49" s="1128">
        <f t="shared" si="16"/>
        <v>36.271698113207655</v>
      </c>
      <c r="AE49" s="1128">
        <f t="shared" si="16"/>
        <v>0</v>
      </c>
      <c r="AF49" s="1128">
        <f t="shared" si="17"/>
        <v>64.483018867924486</v>
      </c>
      <c r="AG49" s="1128">
        <f t="shared" si="17"/>
        <v>0</v>
      </c>
      <c r="AH49" s="1128">
        <f t="shared" si="18"/>
        <v>3.0226415094339538</v>
      </c>
      <c r="AI49" s="1128">
        <f t="shared" si="18"/>
        <v>0</v>
      </c>
      <c r="AL49" s="1128">
        <v>3.3898305084745797E-2</v>
      </c>
      <c r="AM49" s="1128">
        <v>0</v>
      </c>
      <c r="AO49">
        <f t="shared" si="19"/>
        <v>9.0508474576271283</v>
      </c>
      <c r="AP49">
        <f t="shared" si="19"/>
        <v>0</v>
      </c>
      <c r="AS49" s="309">
        <v>1.8726591760299598E-2</v>
      </c>
      <c r="AT49" s="309">
        <v>0</v>
      </c>
      <c r="AU49" s="309">
        <f t="shared" si="8"/>
        <v>-8.1273408239700404E-2</v>
      </c>
      <c r="AV49" s="1142">
        <f t="shared" si="8"/>
        <v>-0.1</v>
      </c>
      <c r="AX49">
        <f t="shared" si="9"/>
        <v>0</v>
      </c>
      <c r="AY49">
        <f t="shared" si="9"/>
        <v>0</v>
      </c>
      <c r="BA49" s="1128">
        <v>1.4869888475836431E-2</v>
      </c>
      <c r="BC49">
        <f t="shared" ref="BC49:BC63" si="20">BA49*C49</f>
        <v>3.970260223048327</v>
      </c>
      <c r="BF49">
        <v>0</v>
      </c>
      <c r="BG49" s="1128"/>
    </row>
    <row r="50" spans="1:59" x14ac:dyDescent="0.2">
      <c r="A50" s="197" t="s">
        <v>84</v>
      </c>
      <c r="B50" s="1126">
        <v>2471</v>
      </c>
      <c r="C50" s="1127">
        <v>346</v>
      </c>
      <c r="D50" s="1127">
        <v>0</v>
      </c>
      <c r="E50" s="1128">
        <v>0.43103448275862066</v>
      </c>
      <c r="F50" s="1128">
        <v>0</v>
      </c>
      <c r="G50" s="1128">
        <f t="shared" si="12"/>
        <v>149.13793103448276</v>
      </c>
      <c r="H50" s="1128">
        <f t="shared" si="12"/>
        <v>0</v>
      </c>
      <c r="K50" s="1128">
        <v>2.3188405797101502E-2</v>
      </c>
      <c r="L50" s="1128">
        <v>0</v>
      </c>
      <c r="M50" s="1128">
        <v>7.5362318840579701E-2</v>
      </c>
      <c r="N50" s="1128">
        <v>0</v>
      </c>
      <c r="O50" s="1128">
        <v>0.153623188405797</v>
      </c>
      <c r="P50" s="1128">
        <v>0</v>
      </c>
      <c r="Q50" s="1128">
        <v>0.107246376811594</v>
      </c>
      <c r="R50" s="1128">
        <v>0</v>
      </c>
      <c r="S50" s="1128">
        <v>0.19420289855072501</v>
      </c>
      <c r="T50" s="1128">
        <v>0</v>
      </c>
      <c r="U50" s="1128">
        <v>1.4492753623188401E-2</v>
      </c>
      <c r="V50" s="1128">
        <v>0</v>
      </c>
      <c r="X50" s="1128">
        <f t="shared" si="13"/>
        <v>8.0231884057971197</v>
      </c>
      <c r="Y50" s="1128">
        <f t="shared" si="13"/>
        <v>0</v>
      </c>
      <c r="Z50" s="1128">
        <f t="shared" si="14"/>
        <v>26.075362318840575</v>
      </c>
      <c r="AA50" s="1128">
        <f t="shared" si="14"/>
        <v>0</v>
      </c>
      <c r="AB50" s="1128">
        <f t="shared" si="15"/>
        <v>53.15362318840576</v>
      </c>
      <c r="AC50" s="1128">
        <f t="shared" si="15"/>
        <v>0</v>
      </c>
      <c r="AD50" s="1128">
        <f t="shared" si="16"/>
        <v>37.107246376811524</v>
      </c>
      <c r="AE50" s="1128">
        <f t="shared" si="16"/>
        <v>0</v>
      </c>
      <c r="AF50" s="1128">
        <f t="shared" si="17"/>
        <v>67.194202898550856</v>
      </c>
      <c r="AG50" s="1128">
        <f t="shared" si="17"/>
        <v>0</v>
      </c>
      <c r="AH50" s="1128">
        <f t="shared" si="18"/>
        <v>5.0144927536231867</v>
      </c>
      <c r="AI50" s="1128">
        <f t="shared" si="18"/>
        <v>0</v>
      </c>
      <c r="AL50" s="1128">
        <v>2.8901734104046201E-2</v>
      </c>
      <c r="AM50" s="1128">
        <v>0</v>
      </c>
      <c r="AO50">
        <f t="shared" si="19"/>
        <v>9.9999999999999858</v>
      </c>
      <c r="AP50">
        <f t="shared" si="19"/>
        <v>0</v>
      </c>
      <c r="AS50" s="309">
        <v>5.7803468208092498E-2</v>
      </c>
      <c r="AT50" s="309">
        <v>0</v>
      </c>
      <c r="AU50" s="309">
        <f t="shared" si="8"/>
        <v>-4.2196531791907507E-2</v>
      </c>
      <c r="AV50" s="1142">
        <f t="shared" si="8"/>
        <v>-0.1</v>
      </c>
      <c r="AX50">
        <f t="shared" si="9"/>
        <v>0</v>
      </c>
      <c r="AY50">
        <f t="shared" si="9"/>
        <v>0</v>
      </c>
      <c r="BA50" s="1128">
        <v>5.7471264367816091E-3</v>
      </c>
      <c r="BC50">
        <f t="shared" si="20"/>
        <v>1.9885057471264367</v>
      </c>
      <c r="BF50">
        <v>0</v>
      </c>
      <c r="BG50" s="1128"/>
    </row>
    <row r="51" spans="1:59" x14ac:dyDescent="0.2">
      <c r="A51" s="197" t="s">
        <v>82</v>
      </c>
      <c r="B51" s="1126">
        <v>2420</v>
      </c>
      <c r="C51" s="1127">
        <v>465</v>
      </c>
      <c r="D51" s="1127">
        <v>0</v>
      </c>
      <c r="E51" s="1128">
        <v>0.65426695842450766</v>
      </c>
      <c r="F51" s="1128">
        <v>0</v>
      </c>
      <c r="G51" s="1128">
        <f t="shared" si="12"/>
        <v>304.23413566739606</v>
      </c>
      <c r="H51" s="1128">
        <f t="shared" si="12"/>
        <v>0</v>
      </c>
      <c r="K51" s="1128">
        <v>0</v>
      </c>
      <c r="L51" s="1128">
        <v>0</v>
      </c>
      <c r="M51" s="1128">
        <v>8.6021505376344103E-3</v>
      </c>
      <c r="N51" s="1128">
        <v>0</v>
      </c>
      <c r="O51" s="1128">
        <v>9.8924731182795697E-2</v>
      </c>
      <c r="P51" s="1128">
        <v>0</v>
      </c>
      <c r="Q51" s="1128">
        <v>6.8817204301075297E-2</v>
      </c>
      <c r="R51" s="1128">
        <v>0</v>
      </c>
      <c r="S51" s="1128">
        <v>0.16989247311828001</v>
      </c>
      <c r="T51" s="1128">
        <v>0</v>
      </c>
      <c r="U51" s="1128">
        <v>0.63870967741935503</v>
      </c>
      <c r="V51" s="1128">
        <v>0</v>
      </c>
      <c r="X51" s="1128">
        <f t="shared" si="13"/>
        <v>0</v>
      </c>
      <c r="Y51" s="1128">
        <f t="shared" si="13"/>
        <v>0</v>
      </c>
      <c r="Z51" s="1128">
        <f t="shared" si="14"/>
        <v>4.0000000000000009</v>
      </c>
      <c r="AA51" s="1128">
        <f t="shared" si="14"/>
        <v>0</v>
      </c>
      <c r="AB51" s="1128">
        <f t="shared" si="15"/>
        <v>46</v>
      </c>
      <c r="AC51" s="1128">
        <f t="shared" si="15"/>
        <v>0</v>
      </c>
      <c r="AD51" s="1128">
        <f t="shared" si="16"/>
        <v>32.000000000000014</v>
      </c>
      <c r="AE51" s="1128">
        <f t="shared" si="16"/>
        <v>0</v>
      </c>
      <c r="AF51" s="1128">
        <f t="shared" si="17"/>
        <v>79.000000000000199</v>
      </c>
      <c r="AG51" s="1128">
        <f t="shared" si="17"/>
        <v>0</v>
      </c>
      <c r="AH51" s="1128">
        <f t="shared" si="18"/>
        <v>297.00000000000011</v>
      </c>
      <c r="AI51" s="1128">
        <f t="shared" si="18"/>
        <v>0</v>
      </c>
      <c r="AL51" s="1128">
        <v>0.28795811518324599</v>
      </c>
      <c r="AM51" s="1128">
        <v>0</v>
      </c>
      <c r="AO51">
        <f t="shared" si="19"/>
        <v>133.90052356020939</v>
      </c>
      <c r="AP51">
        <f t="shared" si="19"/>
        <v>0</v>
      </c>
      <c r="AS51" s="309">
        <v>0.20860215053763401</v>
      </c>
      <c r="AT51" s="309">
        <v>0</v>
      </c>
      <c r="AU51" s="309">
        <f t="shared" si="8"/>
        <v>0.108602150537634</v>
      </c>
      <c r="AV51" s="1142">
        <f t="shared" si="8"/>
        <v>-0.1</v>
      </c>
      <c r="AX51">
        <f t="shared" si="9"/>
        <v>50.499999999999808</v>
      </c>
      <c r="AY51">
        <f t="shared" si="9"/>
        <v>0</v>
      </c>
      <c r="BA51" s="1128">
        <v>6.5645514223194746E-3</v>
      </c>
      <c r="BC51">
        <f t="shared" si="20"/>
        <v>3.0525164113785559</v>
      </c>
      <c r="BF51">
        <v>0</v>
      </c>
      <c r="BG51" s="1128"/>
    </row>
    <row r="52" spans="1:59" x14ac:dyDescent="0.2">
      <c r="A52" s="197" t="s">
        <v>85</v>
      </c>
      <c r="B52" s="1126">
        <v>2003</v>
      </c>
      <c r="C52" s="1127">
        <v>208</v>
      </c>
      <c r="D52" s="1127">
        <v>0</v>
      </c>
      <c r="E52" s="1128">
        <v>6.5727699530516423E-2</v>
      </c>
      <c r="F52" s="1128">
        <v>0</v>
      </c>
      <c r="G52" s="1128">
        <f t="shared" si="12"/>
        <v>13.671361502347416</v>
      </c>
      <c r="H52" s="1128">
        <f t="shared" si="12"/>
        <v>0</v>
      </c>
      <c r="K52" s="1128">
        <v>2.8846153846153799E-2</v>
      </c>
      <c r="L52" s="1128">
        <v>0</v>
      </c>
      <c r="M52" s="1128">
        <v>0</v>
      </c>
      <c r="N52" s="1128">
        <v>0</v>
      </c>
      <c r="O52" s="1128">
        <v>0</v>
      </c>
      <c r="P52" s="1128">
        <v>0</v>
      </c>
      <c r="Q52" s="1128">
        <v>0</v>
      </c>
      <c r="R52" s="1128">
        <v>0</v>
      </c>
      <c r="S52" s="1128">
        <v>0</v>
      </c>
      <c r="T52" s="1128">
        <v>0</v>
      </c>
      <c r="U52" s="1128">
        <v>0</v>
      </c>
      <c r="V52" s="1128">
        <v>0</v>
      </c>
      <c r="X52" s="1128">
        <f t="shared" si="13"/>
        <v>5.9999999999999902</v>
      </c>
      <c r="Y52" s="1128">
        <f t="shared" si="13"/>
        <v>0</v>
      </c>
      <c r="Z52" s="1128">
        <f t="shared" si="14"/>
        <v>0</v>
      </c>
      <c r="AA52" s="1128">
        <f t="shared" si="14"/>
        <v>0</v>
      </c>
      <c r="AB52" s="1128">
        <f t="shared" si="15"/>
        <v>0</v>
      </c>
      <c r="AC52" s="1128">
        <f t="shared" si="15"/>
        <v>0</v>
      </c>
      <c r="AD52" s="1128">
        <f t="shared" si="16"/>
        <v>0</v>
      </c>
      <c r="AE52" s="1128">
        <f t="shared" si="16"/>
        <v>0</v>
      </c>
      <c r="AF52" s="1128">
        <f t="shared" si="17"/>
        <v>0</v>
      </c>
      <c r="AG52" s="1128">
        <f t="shared" si="17"/>
        <v>0</v>
      </c>
      <c r="AH52" s="1128">
        <f t="shared" si="18"/>
        <v>0</v>
      </c>
      <c r="AI52" s="1128">
        <f t="shared" si="18"/>
        <v>0</v>
      </c>
      <c r="AL52" s="1128">
        <v>2.2471910112359599E-2</v>
      </c>
      <c r="AM52" s="1128">
        <v>0</v>
      </c>
      <c r="AO52">
        <f t="shared" si="19"/>
        <v>4.6741573033707962</v>
      </c>
      <c r="AP52">
        <f t="shared" si="19"/>
        <v>0</v>
      </c>
      <c r="AS52" s="309">
        <v>1.9230769230769201E-2</v>
      </c>
      <c r="AT52" s="309">
        <v>0</v>
      </c>
      <c r="AU52" s="309">
        <f t="shared" si="8"/>
        <v>-8.0769230769230801E-2</v>
      </c>
      <c r="AV52" s="1142">
        <f t="shared" si="8"/>
        <v>-0.1</v>
      </c>
      <c r="AX52">
        <f t="shared" si="9"/>
        <v>0</v>
      </c>
      <c r="AY52">
        <f t="shared" si="9"/>
        <v>0</v>
      </c>
      <c r="BA52" s="1128">
        <v>4.6948356807511738E-3</v>
      </c>
      <c r="BC52">
        <f t="shared" si="20"/>
        <v>0.97652582159624413</v>
      </c>
      <c r="BF52">
        <v>0</v>
      </c>
      <c r="BG52" s="1128"/>
    </row>
    <row r="53" spans="1:59" x14ac:dyDescent="0.2">
      <c r="A53" s="197" t="s">
        <v>86</v>
      </c>
      <c r="B53" s="1126">
        <v>2423</v>
      </c>
      <c r="C53" s="1127">
        <v>358</v>
      </c>
      <c r="D53" s="1127">
        <v>0</v>
      </c>
      <c r="E53" s="1128">
        <v>0.58379888268156421</v>
      </c>
      <c r="F53" s="1128">
        <v>0</v>
      </c>
      <c r="G53" s="1128">
        <f t="shared" si="12"/>
        <v>209</v>
      </c>
      <c r="H53" s="1128">
        <f t="shared" si="12"/>
        <v>0</v>
      </c>
      <c r="K53" s="1128">
        <v>2.80112044817927E-3</v>
      </c>
      <c r="L53" s="1128">
        <v>0</v>
      </c>
      <c r="M53" s="1128">
        <v>5.3221288515406202E-2</v>
      </c>
      <c r="N53" s="1128">
        <v>0</v>
      </c>
      <c r="O53" s="1128">
        <v>0.46218487394958002</v>
      </c>
      <c r="P53" s="1128">
        <v>0</v>
      </c>
      <c r="Q53" s="1128">
        <v>0.28571428571428598</v>
      </c>
      <c r="R53" s="1128">
        <v>0</v>
      </c>
      <c r="S53" s="1128">
        <v>0.145658263305322</v>
      </c>
      <c r="T53" s="1128">
        <v>0</v>
      </c>
      <c r="U53" s="1128">
        <v>3.9215686274509803E-2</v>
      </c>
      <c r="V53" s="1128">
        <v>0</v>
      </c>
      <c r="X53" s="1128">
        <f t="shared" si="13"/>
        <v>1.0028011204481786</v>
      </c>
      <c r="Y53" s="1128">
        <f t="shared" si="13"/>
        <v>0</v>
      </c>
      <c r="Z53" s="1128">
        <f t="shared" si="14"/>
        <v>19.05322128851542</v>
      </c>
      <c r="AA53" s="1128">
        <f t="shared" si="14"/>
        <v>0</v>
      </c>
      <c r="AB53" s="1128">
        <f t="shared" si="15"/>
        <v>165.46218487394964</v>
      </c>
      <c r="AC53" s="1128">
        <f t="shared" si="15"/>
        <v>0</v>
      </c>
      <c r="AD53" s="1128">
        <f t="shared" si="16"/>
        <v>102.28571428571438</v>
      </c>
      <c r="AE53" s="1128">
        <f t="shared" si="16"/>
        <v>0</v>
      </c>
      <c r="AF53" s="1128">
        <f t="shared" si="17"/>
        <v>52.145658263305279</v>
      </c>
      <c r="AG53" s="1128">
        <f t="shared" si="17"/>
        <v>0</v>
      </c>
      <c r="AH53" s="1128">
        <f t="shared" si="18"/>
        <v>14.03921568627451</v>
      </c>
      <c r="AI53" s="1128">
        <f t="shared" si="18"/>
        <v>0</v>
      </c>
      <c r="AL53" s="1128">
        <v>0.40782122905027901</v>
      </c>
      <c r="AM53" s="1128">
        <v>0</v>
      </c>
      <c r="AO53">
        <f t="shared" si="19"/>
        <v>145.99999999999989</v>
      </c>
      <c r="AP53">
        <f t="shared" si="19"/>
        <v>0</v>
      </c>
      <c r="AS53" s="309">
        <v>0.16759776536312801</v>
      </c>
      <c r="AT53" s="309">
        <v>0</v>
      </c>
      <c r="AU53" s="309">
        <f t="shared" si="8"/>
        <v>6.7597765363128004E-2</v>
      </c>
      <c r="AV53" s="1142">
        <f t="shared" si="8"/>
        <v>-0.1</v>
      </c>
      <c r="AX53">
        <f t="shared" si="9"/>
        <v>24.199999999999825</v>
      </c>
      <c r="AY53">
        <f t="shared" si="9"/>
        <v>0</v>
      </c>
      <c r="BA53" s="1128">
        <v>0</v>
      </c>
      <c r="BC53">
        <f t="shared" si="20"/>
        <v>0</v>
      </c>
      <c r="BF53">
        <v>0</v>
      </c>
      <c r="BG53" s="1128"/>
    </row>
    <row r="54" spans="1:59" x14ac:dyDescent="0.2">
      <c r="A54" s="197" t="s">
        <v>87</v>
      </c>
      <c r="B54" s="1126">
        <v>2424</v>
      </c>
      <c r="C54" s="1127">
        <v>267</v>
      </c>
      <c r="D54" s="1127">
        <v>0</v>
      </c>
      <c r="E54" s="1128">
        <v>0.47407407407407398</v>
      </c>
      <c r="F54" s="1128">
        <v>0</v>
      </c>
      <c r="G54" s="1128">
        <f t="shared" si="12"/>
        <v>126.57777777777775</v>
      </c>
      <c r="H54" s="1128">
        <f t="shared" si="12"/>
        <v>0</v>
      </c>
      <c r="K54" s="1128">
        <v>1.1235955056179799E-2</v>
      </c>
      <c r="L54" s="1128">
        <v>0</v>
      </c>
      <c r="M54" s="1128">
        <v>2.2471910112359599E-2</v>
      </c>
      <c r="N54" s="1128">
        <v>0</v>
      </c>
      <c r="O54" s="1128">
        <v>0.45692883895131098</v>
      </c>
      <c r="P54" s="1128">
        <v>0</v>
      </c>
      <c r="Q54" s="1128">
        <v>0.367041198501873</v>
      </c>
      <c r="R54" s="1128">
        <v>0</v>
      </c>
      <c r="S54" s="1128">
        <v>0.108614232209738</v>
      </c>
      <c r="T54" s="1128">
        <v>0</v>
      </c>
      <c r="U54" s="1128">
        <v>2.6217228464419502E-2</v>
      </c>
      <c r="V54" s="1128">
        <v>0</v>
      </c>
      <c r="X54" s="1128">
        <f t="shared" si="13"/>
        <v>3.0000000000000062</v>
      </c>
      <c r="Y54" s="1128">
        <f t="shared" si="13"/>
        <v>0</v>
      </c>
      <c r="Z54" s="1128">
        <f t="shared" si="14"/>
        <v>6.0000000000000124</v>
      </c>
      <c r="AA54" s="1128">
        <f t="shared" si="14"/>
        <v>0</v>
      </c>
      <c r="AB54" s="1128">
        <f t="shared" si="15"/>
        <v>122.00000000000003</v>
      </c>
      <c r="AC54" s="1128">
        <f t="shared" si="15"/>
        <v>0</v>
      </c>
      <c r="AD54" s="1128">
        <f t="shared" si="16"/>
        <v>98.000000000000085</v>
      </c>
      <c r="AE54" s="1128">
        <f t="shared" si="16"/>
        <v>0</v>
      </c>
      <c r="AF54" s="1128">
        <f t="shared" si="17"/>
        <v>29.000000000000046</v>
      </c>
      <c r="AG54" s="1128">
        <f t="shared" si="17"/>
        <v>0</v>
      </c>
      <c r="AH54" s="1128">
        <f t="shared" si="18"/>
        <v>7.0000000000000071</v>
      </c>
      <c r="AI54" s="1128">
        <f t="shared" si="18"/>
        <v>0</v>
      </c>
      <c r="AL54" s="1128">
        <v>0.68361581920904002</v>
      </c>
      <c r="AM54" s="1128">
        <v>0</v>
      </c>
      <c r="AO54">
        <f t="shared" si="19"/>
        <v>182.52542372881368</v>
      </c>
      <c r="AP54">
        <f t="shared" si="19"/>
        <v>0</v>
      </c>
      <c r="AS54" s="309">
        <v>0.11985018726591801</v>
      </c>
      <c r="AT54" s="309">
        <v>0</v>
      </c>
      <c r="AU54" s="309">
        <f t="shared" si="8"/>
        <v>1.9850187265918001E-2</v>
      </c>
      <c r="AV54" s="1142">
        <f t="shared" si="8"/>
        <v>-0.1</v>
      </c>
      <c r="AX54">
        <f t="shared" si="9"/>
        <v>5.3000000000001064</v>
      </c>
      <c r="AY54">
        <f t="shared" si="9"/>
        <v>0</v>
      </c>
      <c r="BA54" s="1128">
        <v>7.4074074074074077E-3</v>
      </c>
      <c r="BC54">
        <f t="shared" si="20"/>
        <v>1.9777777777777779</v>
      </c>
      <c r="BF54">
        <v>0</v>
      </c>
      <c r="BG54" s="1128"/>
    </row>
    <row r="55" spans="1:59" x14ac:dyDescent="0.2">
      <c r="A55" s="197" t="s">
        <v>88</v>
      </c>
      <c r="B55" s="1126">
        <v>2439</v>
      </c>
      <c r="C55" s="1127">
        <v>239</v>
      </c>
      <c r="D55" s="1127">
        <v>0</v>
      </c>
      <c r="E55" s="1128">
        <v>7.5949367088607611E-2</v>
      </c>
      <c r="F55" s="1128">
        <v>0</v>
      </c>
      <c r="G55" s="1128">
        <f t="shared" si="12"/>
        <v>18.15189873417722</v>
      </c>
      <c r="H55" s="1128">
        <f t="shared" si="12"/>
        <v>0</v>
      </c>
      <c r="K55" s="1128">
        <v>2.5104602510460299E-2</v>
      </c>
      <c r="L55" s="1128">
        <v>0</v>
      </c>
      <c r="M55" s="1128">
        <v>2.5104602510460299E-2</v>
      </c>
      <c r="N55" s="1128">
        <v>0</v>
      </c>
      <c r="O55" s="1128">
        <v>2.92887029288703E-2</v>
      </c>
      <c r="P55" s="1128">
        <v>0</v>
      </c>
      <c r="Q55" s="1128">
        <v>4.1841004184100397E-3</v>
      </c>
      <c r="R55" s="1128">
        <v>0</v>
      </c>
      <c r="S55" s="1128">
        <v>0</v>
      </c>
      <c r="T55" s="1128">
        <v>0</v>
      </c>
      <c r="U55" s="1128">
        <v>0</v>
      </c>
      <c r="V55" s="1128">
        <v>0</v>
      </c>
      <c r="X55" s="1128">
        <f t="shared" si="13"/>
        <v>6.0000000000000115</v>
      </c>
      <c r="Y55" s="1128">
        <f t="shared" si="13"/>
        <v>0</v>
      </c>
      <c r="Z55" s="1128">
        <f t="shared" si="14"/>
        <v>6.0000000000000115</v>
      </c>
      <c r="AA55" s="1128">
        <f t="shared" si="14"/>
        <v>0</v>
      </c>
      <c r="AB55" s="1128">
        <f t="shared" si="15"/>
        <v>7.0000000000000018</v>
      </c>
      <c r="AC55" s="1128">
        <f t="shared" si="15"/>
        <v>0</v>
      </c>
      <c r="AD55" s="1128">
        <f t="shared" si="16"/>
        <v>0.99999999999999944</v>
      </c>
      <c r="AE55" s="1128">
        <f t="shared" si="16"/>
        <v>0</v>
      </c>
      <c r="AF55" s="1128">
        <f t="shared" si="17"/>
        <v>0</v>
      </c>
      <c r="AG55" s="1128">
        <f t="shared" si="17"/>
        <v>0</v>
      </c>
      <c r="AH55" s="1128">
        <f t="shared" si="18"/>
        <v>0</v>
      </c>
      <c r="AI55" s="1128">
        <f t="shared" si="18"/>
        <v>0</v>
      </c>
      <c r="AL55" s="1128">
        <v>4.40251572327044E-2</v>
      </c>
      <c r="AM55" s="1128">
        <v>0</v>
      </c>
      <c r="AO55">
        <f t="shared" si="19"/>
        <v>10.522012578616351</v>
      </c>
      <c r="AP55">
        <f t="shared" si="19"/>
        <v>0</v>
      </c>
      <c r="AS55" s="309">
        <v>1.6736401673640201E-2</v>
      </c>
      <c r="AT55" s="309">
        <v>0</v>
      </c>
      <c r="AU55" s="309">
        <f t="shared" si="8"/>
        <v>-8.3263598326359808E-2</v>
      </c>
      <c r="AV55" s="1142">
        <f t="shared" si="8"/>
        <v>-0.1</v>
      </c>
      <c r="AX55">
        <f t="shared" si="9"/>
        <v>0</v>
      </c>
      <c r="AY55">
        <f t="shared" si="9"/>
        <v>0</v>
      </c>
      <c r="BA55" s="1128">
        <v>0</v>
      </c>
      <c r="BC55">
        <f t="shared" si="20"/>
        <v>0</v>
      </c>
      <c r="BF55">
        <v>0</v>
      </c>
      <c r="BG55" s="1128"/>
    </row>
    <row r="56" spans="1:59" x14ac:dyDescent="0.2">
      <c r="A56" s="197" t="s">
        <v>89</v>
      </c>
      <c r="B56" s="1126">
        <v>2440</v>
      </c>
      <c r="C56" s="1127">
        <v>291</v>
      </c>
      <c r="D56" s="1127">
        <v>0</v>
      </c>
      <c r="E56" s="1128">
        <v>0.1103448275862069</v>
      </c>
      <c r="F56" s="1128">
        <v>0</v>
      </c>
      <c r="G56" s="1128">
        <f t="shared" si="12"/>
        <v>32.110344827586204</v>
      </c>
      <c r="H56" s="1128">
        <f t="shared" si="12"/>
        <v>0</v>
      </c>
      <c r="K56" s="1128">
        <v>6.8965517241379301E-3</v>
      </c>
      <c r="L56" s="1128">
        <v>0</v>
      </c>
      <c r="M56" s="1128">
        <v>2.06896551724138E-2</v>
      </c>
      <c r="N56" s="1128">
        <v>0</v>
      </c>
      <c r="O56" s="1128">
        <v>2.06896551724138E-2</v>
      </c>
      <c r="P56" s="1128">
        <v>0</v>
      </c>
      <c r="Q56" s="1128">
        <v>3.4482758620689698E-3</v>
      </c>
      <c r="R56" s="1128">
        <v>0</v>
      </c>
      <c r="S56" s="1128">
        <v>3.4482758620689698E-3</v>
      </c>
      <c r="T56" s="1128">
        <v>0</v>
      </c>
      <c r="U56" s="1128">
        <v>0</v>
      </c>
      <c r="V56" s="1128">
        <v>0</v>
      </c>
      <c r="X56" s="1128">
        <f t="shared" si="13"/>
        <v>2.0068965517241377</v>
      </c>
      <c r="Y56" s="1128">
        <f t="shared" si="13"/>
        <v>0</v>
      </c>
      <c r="Z56" s="1128">
        <f t="shared" si="14"/>
        <v>6.0206896551724158</v>
      </c>
      <c r="AA56" s="1128">
        <f t="shared" si="14"/>
        <v>0</v>
      </c>
      <c r="AB56" s="1128">
        <f t="shared" si="15"/>
        <v>6.0206896551724158</v>
      </c>
      <c r="AC56" s="1128">
        <f t="shared" si="15"/>
        <v>0</v>
      </c>
      <c r="AD56" s="1128">
        <f t="shared" si="16"/>
        <v>1.0034482758620702</v>
      </c>
      <c r="AE56" s="1128">
        <f t="shared" si="16"/>
        <v>0</v>
      </c>
      <c r="AF56" s="1128">
        <f t="shared" si="17"/>
        <v>1.0034482758620702</v>
      </c>
      <c r="AG56" s="1128">
        <f t="shared" si="17"/>
        <v>0</v>
      </c>
      <c r="AH56" s="1128">
        <f t="shared" si="18"/>
        <v>0</v>
      </c>
      <c r="AI56" s="1128">
        <f t="shared" si="18"/>
        <v>0</v>
      </c>
      <c r="AL56" s="1128">
        <v>1.03092783505155E-2</v>
      </c>
      <c r="AM56" s="1128">
        <v>0</v>
      </c>
      <c r="AO56">
        <f t="shared" si="19"/>
        <v>3.0000000000000107</v>
      </c>
      <c r="AP56">
        <f t="shared" si="19"/>
        <v>0</v>
      </c>
      <c r="AS56" s="309">
        <v>2.06185567010309E-2</v>
      </c>
      <c r="AT56" s="309">
        <v>0</v>
      </c>
      <c r="AU56" s="309">
        <f t="shared" si="8"/>
        <v>-7.9381443298969109E-2</v>
      </c>
      <c r="AV56" s="1142">
        <f t="shared" si="8"/>
        <v>-0.1</v>
      </c>
      <c r="AX56">
        <f t="shared" si="9"/>
        <v>0</v>
      </c>
      <c r="AY56">
        <f t="shared" si="9"/>
        <v>0</v>
      </c>
      <c r="BA56" s="1128">
        <v>0</v>
      </c>
      <c r="BC56">
        <f t="shared" si="20"/>
        <v>0</v>
      </c>
      <c r="BF56">
        <v>0</v>
      </c>
      <c r="BG56" s="1128"/>
    </row>
    <row r="57" spans="1:59" x14ac:dyDescent="0.2">
      <c r="A57" s="197" t="s">
        <v>163</v>
      </c>
      <c r="B57" s="1126">
        <v>2462</v>
      </c>
      <c r="C57" s="1127">
        <v>220</v>
      </c>
      <c r="D57" s="1127">
        <v>0</v>
      </c>
      <c r="E57" s="1128">
        <v>0.13924050632911392</v>
      </c>
      <c r="F57" s="1128">
        <v>0</v>
      </c>
      <c r="G57" s="1128">
        <f t="shared" si="12"/>
        <v>30.632911392405063</v>
      </c>
      <c r="H57" s="1128">
        <f t="shared" si="12"/>
        <v>0</v>
      </c>
      <c r="K57" s="1128">
        <v>3.6363636363636397E-2</v>
      </c>
      <c r="L57" s="1128">
        <v>0</v>
      </c>
      <c r="M57" s="1128">
        <v>6.8181818181818205E-2</v>
      </c>
      <c r="N57" s="1128">
        <v>0</v>
      </c>
      <c r="O57" s="1128">
        <v>0.118181818181818</v>
      </c>
      <c r="P57" s="1128">
        <v>0</v>
      </c>
      <c r="Q57" s="1128">
        <v>9.0909090909090905E-3</v>
      </c>
      <c r="R57" s="1128">
        <v>0</v>
      </c>
      <c r="S57" s="1128">
        <v>1.8181818181818198E-2</v>
      </c>
      <c r="T57" s="1128">
        <v>0</v>
      </c>
      <c r="U57" s="1128">
        <v>2.7272727272727299E-2</v>
      </c>
      <c r="V57" s="1128">
        <v>0</v>
      </c>
      <c r="X57" s="1128">
        <f t="shared" si="13"/>
        <v>8.0000000000000071</v>
      </c>
      <c r="Y57" s="1128">
        <f t="shared" si="13"/>
        <v>0</v>
      </c>
      <c r="Z57" s="1128">
        <f t="shared" si="14"/>
        <v>15.000000000000005</v>
      </c>
      <c r="AA57" s="1128">
        <f t="shared" si="14"/>
        <v>0</v>
      </c>
      <c r="AB57" s="1128">
        <f t="shared" si="15"/>
        <v>25.999999999999961</v>
      </c>
      <c r="AC57" s="1128">
        <f t="shared" si="15"/>
        <v>0</v>
      </c>
      <c r="AD57" s="1128">
        <f t="shared" si="16"/>
        <v>2</v>
      </c>
      <c r="AE57" s="1128">
        <f t="shared" si="16"/>
        <v>0</v>
      </c>
      <c r="AF57" s="1128">
        <f t="shared" si="17"/>
        <v>4.0000000000000036</v>
      </c>
      <c r="AG57" s="1128">
        <f t="shared" si="17"/>
        <v>0</v>
      </c>
      <c r="AH57" s="1128">
        <f t="shared" si="18"/>
        <v>6.0000000000000062</v>
      </c>
      <c r="AI57" s="1128">
        <f t="shared" si="18"/>
        <v>0</v>
      </c>
      <c r="AL57" s="1128">
        <v>8.1250000000000003E-2</v>
      </c>
      <c r="AM57" s="1128">
        <v>0</v>
      </c>
      <c r="AO57">
        <f t="shared" si="19"/>
        <v>17.875</v>
      </c>
      <c r="AP57">
        <f t="shared" si="19"/>
        <v>0</v>
      </c>
      <c r="AS57" s="309">
        <v>7.2727272727272696E-2</v>
      </c>
      <c r="AT57" s="309">
        <v>0</v>
      </c>
      <c r="AU57" s="309">
        <f t="shared" si="8"/>
        <v>-2.727272727272731E-2</v>
      </c>
      <c r="AV57" s="1142">
        <f t="shared" si="8"/>
        <v>-0.1</v>
      </c>
      <c r="AX57">
        <f t="shared" si="9"/>
        <v>0</v>
      </c>
      <c r="AY57">
        <f t="shared" si="9"/>
        <v>0</v>
      </c>
      <c r="BA57" s="1128">
        <v>0</v>
      </c>
      <c r="BC57">
        <f t="shared" si="20"/>
        <v>0</v>
      </c>
      <c r="BF57">
        <v>0</v>
      </c>
      <c r="BG57" s="1128"/>
    </row>
    <row r="58" spans="1:59" x14ac:dyDescent="0.2">
      <c r="A58" s="197" t="s">
        <v>91</v>
      </c>
      <c r="B58" s="1126">
        <v>2463</v>
      </c>
      <c r="C58" s="1127">
        <v>312</v>
      </c>
      <c r="D58" s="1127">
        <v>0</v>
      </c>
      <c r="E58" s="1128">
        <v>0.20512820512820512</v>
      </c>
      <c r="F58" s="1128">
        <v>0</v>
      </c>
      <c r="G58" s="1128">
        <f t="shared" si="12"/>
        <v>64</v>
      </c>
      <c r="H58" s="1128">
        <f t="shared" si="12"/>
        <v>0</v>
      </c>
      <c r="K58" s="1128">
        <v>3.5598705501618103E-2</v>
      </c>
      <c r="L58" s="1128">
        <v>0</v>
      </c>
      <c r="M58" s="1128">
        <v>5.8252427184466E-2</v>
      </c>
      <c r="N58" s="1128">
        <v>0</v>
      </c>
      <c r="O58" s="1128">
        <v>6.7961165048543701E-2</v>
      </c>
      <c r="P58" s="1128">
        <v>0</v>
      </c>
      <c r="Q58" s="1128">
        <v>9.7087378640776708E-3</v>
      </c>
      <c r="R58" s="1128">
        <v>0</v>
      </c>
      <c r="S58" s="1128">
        <v>3.2362459546925598E-3</v>
      </c>
      <c r="T58" s="1128">
        <v>0</v>
      </c>
      <c r="U58" s="1128">
        <v>0</v>
      </c>
      <c r="V58" s="1128">
        <v>0</v>
      </c>
      <c r="X58" s="1128">
        <f t="shared" si="13"/>
        <v>11.106796116504848</v>
      </c>
      <c r="Y58" s="1128">
        <f t="shared" si="13"/>
        <v>0</v>
      </c>
      <c r="Z58" s="1128">
        <f t="shared" si="14"/>
        <v>18.174757281553394</v>
      </c>
      <c r="AA58" s="1128">
        <f t="shared" si="14"/>
        <v>0</v>
      </c>
      <c r="AB58" s="1128">
        <f t="shared" si="15"/>
        <v>21.203883495145636</v>
      </c>
      <c r="AC58" s="1128">
        <f t="shared" si="15"/>
        <v>0</v>
      </c>
      <c r="AD58" s="1128">
        <f t="shared" si="16"/>
        <v>3.0291262135922334</v>
      </c>
      <c r="AE58" s="1128">
        <f t="shared" si="16"/>
        <v>0</v>
      </c>
      <c r="AF58" s="1128">
        <f t="shared" si="17"/>
        <v>1.0097087378640786</v>
      </c>
      <c r="AG58" s="1128">
        <f t="shared" si="17"/>
        <v>0</v>
      </c>
      <c r="AH58" s="1128">
        <f t="shared" si="18"/>
        <v>0</v>
      </c>
      <c r="AI58" s="1128">
        <f t="shared" si="18"/>
        <v>0</v>
      </c>
      <c r="AL58" s="1128">
        <v>5.7692307692307702E-2</v>
      </c>
      <c r="AM58" s="1128">
        <v>0</v>
      </c>
      <c r="AO58">
        <f t="shared" si="19"/>
        <v>18.000000000000004</v>
      </c>
      <c r="AP58">
        <f t="shared" si="19"/>
        <v>0</v>
      </c>
      <c r="AS58" s="309">
        <v>5.4487179487179502E-2</v>
      </c>
      <c r="AT58" s="309">
        <v>0</v>
      </c>
      <c r="AU58" s="309">
        <f t="shared" si="8"/>
        <v>-4.5512820512820504E-2</v>
      </c>
      <c r="AV58" s="1142">
        <f t="shared" si="8"/>
        <v>-0.1</v>
      </c>
      <c r="AX58">
        <f t="shared" si="9"/>
        <v>0</v>
      </c>
      <c r="AY58">
        <f t="shared" si="9"/>
        <v>0</v>
      </c>
      <c r="BA58" s="1128">
        <v>0</v>
      </c>
      <c r="BC58">
        <f t="shared" si="20"/>
        <v>0</v>
      </c>
      <c r="BF58">
        <v>0</v>
      </c>
      <c r="BG58" s="1128"/>
    </row>
    <row r="59" spans="1:59" x14ac:dyDescent="0.2">
      <c r="A59" s="197" t="s">
        <v>92</v>
      </c>
      <c r="B59" s="1126">
        <v>2505</v>
      </c>
      <c r="C59" s="1127">
        <v>453</v>
      </c>
      <c r="D59" s="1127">
        <v>0</v>
      </c>
      <c r="E59" s="1128">
        <v>0.39400921658986149</v>
      </c>
      <c r="F59" s="1128">
        <v>0</v>
      </c>
      <c r="G59" s="1128">
        <f t="shared" si="12"/>
        <v>178.48617511520726</v>
      </c>
      <c r="H59" s="1128">
        <f t="shared" si="12"/>
        <v>0</v>
      </c>
      <c r="K59" s="1128">
        <v>0.21700223713646499</v>
      </c>
      <c r="L59" s="1128">
        <v>0</v>
      </c>
      <c r="M59" s="1128">
        <v>0</v>
      </c>
      <c r="N59" s="1128">
        <v>0</v>
      </c>
      <c r="O59" s="1128">
        <v>0.39373601789709201</v>
      </c>
      <c r="P59" s="1128">
        <v>0</v>
      </c>
      <c r="Q59" s="1128">
        <v>0.17673378076062601</v>
      </c>
      <c r="R59" s="1128">
        <v>0</v>
      </c>
      <c r="S59" s="1128">
        <v>8.9485458612975407E-3</v>
      </c>
      <c r="T59" s="1128">
        <v>0</v>
      </c>
      <c r="U59" s="1128">
        <v>0.11856823266219201</v>
      </c>
      <c r="V59" s="1128">
        <v>0</v>
      </c>
      <c r="X59" s="1128">
        <f t="shared" si="13"/>
        <v>98.302013422818646</v>
      </c>
      <c r="Y59" s="1128">
        <f t="shared" si="13"/>
        <v>0</v>
      </c>
      <c r="Z59" s="1128">
        <f t="shared" si="14"/>
        <v>0</v>
      </c>
      <c r="AA59" s="1128">
        <f t="shared" si="14"/>
        <v>0</v>
      </c>
      <c r="AB59" s="1128">
        <f t="shared" si="15"/>
        <v>178.36241610738267</v>
      </c>
      <c r="AC59" s="1128">
        <f t="shared" si="15"/>
        <v>0</v>
      </c>
      <c r="AD59" s="1128">
        <f t="shared" si="16"/>
        <v>80.060402684563584</v>
      </c>
      <c r="AE59" s="1128">
        <f t="shared" si="16"/>
        <v>0</v>
      </c>
      <c r="AF59" s="1128">
        <f t="shared" si="17"/>
        <v>4.053691275167786</v>
      </c>
      <c r="AG59" s="1128">
        <f t="shared" si="17"/>
        <v>0</v>
      </c>
      <c r="AH59" s="1128">
        <f t="shared" si="18"/>
        <v>53.711409395972979</v>
      </c>
      <c r="AI59" s="1128">
        <f t="shared" si="18"/>
        <v>0</v>
      </c>
      <c r="AL59" s="1128">
        <v>0.17460317460317501</v>
      </c>
      <c r="AM59" s="1128">
        <v>0</v>
      </c>
      <c r="AO59">
        <f t="shared" si="19"/>
        <v>79.095238095238273</v>
      </c>
      <c r="AP59">
        <f t="shared" si="19"/>
        <v>0</v>
      </c>
      <c r="AS59" s="309">
        <v>0.101545253863135</v>
      </c>
      <c r="AT59" s="309">
        <v>0</v>
      </c>
      <c r="AU59" s="309">
        <f t="shared" si="8"/>
        <v>1.5452538631349905E-3</v>
      </c>
      <c r="AV59" s="1142">
        <f t="shared" si="8"/>
        <v>-0.1</v>
      </c>
      <c r="AX59">
        <f t="shared" si="9"/>
        <v>0.70000000000015072</v>
      </c>
      <c r="AY59">
        <f t="shared" si="9"/>
        <v>0</v>
      </c>
      <c r="BA59" s="1128">
        <v>0</v>
      </c>
      <c r="BC59">
        <f t="shared" si="20"/>
        <v>0</v>
      </c>
      <c r="BF59">
        <v>0</v>
      </c>
      <c r="BG59" s="1128"/>
    </row>
    <row r="60" spans="1:59" x14ac:dyDescent="0.2">
      <c r="A60" s="197" t="s">
        <v>93</v>
      </c>
      <c r="B60" s="1126">
        <v>2000</v>
      </c>
      <c r="C60" s="1127">
        <v>280</v>
      </c>
      <c r="D60" s="1127">
        <v>0</v>
      </c>
      <c r="E60" s="1128">
        <v>0.41156462585034004</v>
      </c>
      <c r="F60" s="1128">
        <v>0</v>
      </c>
      <c r="G60" s="1128">
        <f t="shared" si="12"/>
        <v>115.23809523809521</v>
      </c>
      <c r="H60" s="1128">
        <f t="shared" si="12"/>
        <v>0</v>
      </c>
      <c r="K60" s="1128">
        <v>0.29096989966555198</v>
      </c>
      <c r="L60" s="1128">
        <v>0</v>
      </c>
      <c r="M60" s="1128">
        <v>0.13043478260869601</v>
      </c>
      <c r="N60" s="1128">
        <v>0</v>
      </c>
      <c r="O60" s="1128">
        <v>0.47157190635451501</v>
      </c>
      <c r="P60" s="1128">
        <v>0</v>
      </c>
      <c r="Q60" s="1128">
        <v>3.3444816053511697E-2</v>
      </c>
      <c r="R60" s="1128">
        <v>0</v>
      </c>
      <c r="S60" s="1128">
        <v>2.3411371237458199E-2</v>
      </c>
      <c r="T60" s="1128">
        <v>0</v>
      </c>
      <c r="U60" s="1128">
        <v>3.3444816053511701E-3</v>
      </c>
      <c r="V60" s="1128">
        <v>0</v>
      </c>
      <c r="X60" s="1128">
        <f t="shared" si="13"/>
        <v>81.471571906354555</v>
      </c>
      <c r="Y60" s="1128">
        <f t="shared" si="13"/>
        <v>0</v>
      </c>
      <c r="Z60" s="1128">
        <f t="shared" si="14"/>
        <v>36.521739130434881</v>
      </c>
      <c r="AA60" s="1128">
        <f t="shared" si="14"/>
        <v>0</v>
      </c>
      <c r="AB60" s="1128">
        <f t="shared" si="15"/>
        <v>132.04013377926421</v>
      </c>
      <c r="AC60" s="1128">
        <f t="shared" si="15"/>
        <v>0</v>
      </c>
      <c r="AD60" s="1128">
        <f t="shared" si="16"/>
        <v>9.3645484949832749</v>
      </c>
      <c r="AE60" s="1128">
        <f t="shared" si="16"/>
        <v>0</v>
      </c>
      <c r="AF60" s="1128">
        <f t="shared" si="17"/>
        <v>6.5551839464882962</v>
      </c>
      <c r="AG60" s="1128">
        <f t="shared" si="17"/>
        <v>0</v>
      </c>
      <c r="AH60" s="1128">
        <f t="shared" si="18"/>
        <v>0.93645484949832758</v>
      </c>
      <c r="AI60" s="1128">
        <f t="shared" si="18"/>
        <v>0</v>
      </c>
      <c r="AL60" s="1128">
        <v>6.8181818181818205E-2</v>
      </c>
      <c r="AM60" s="1128">
        <v>0</v>
      </c>
      <c r="AO60">
        <f t="shared" si="19"/>
        <v>19.090909090909097</v>
      </c>
      <c r="AP60">
        <f t="shared" si="19"/>
        <v>0</v>
      </c>
      <c r="AS60" s="309">
        <v>0.14379084967320299</v>
      </c>
      <c r="AT60" s="309">
        <v>0</v>
      </c>
      <c r="AU60" s="309">
        <f t="shared" si="8"/>
        <v>4.3790849673202986E-2</v>
      </c>
      <c r="AV60" s="1142">
        <f t="shared" si="8"/>
        <v>-0.1</v>
      </c>
      <c r="AX60">
        <f t="shared" si="9"/>
        <v>12.261437908496836</v>
      </c>
      <c r="AY60">
        <f t="shared" si="9"/>
        <v>0</v>
      </c>
      <c r="BA60" s="1128">
        <v>3.4013605442176869E-3</v>
      </c>
      <c r="BC60">
        <f t="shared" si="20"/>
        <v>0.95238095238095233</v>
      </c>
      <c r="BF60">
        <v>0</v>
      </c>
      <c r="BG60" s="1128"/>
    </row>
    <row r="61" spans="1:59" x14ac:dyDescent="0.2">
      <c r="A61" s="197" t="s">
        <v>94</v>
      </c>
      <c r="B61" s="1126">
        <v>2458</v>
      </c>
      <c r="C61" s="1127">
        <v>270</v>
      </c>
      <c r="D61" s="1127">
        <v>0</v>
      </c>
      <c r="E61" s="1128">
        <v>0.13432835820895522</v>
      </c>
      <c r="F61" s="1128">
        <v>0</v>
      </c>
      <c r="G61" s="1128">
        <f t="shared" si="12"/>
        <v>36.268656716417908</v>
      </c>
      <c r="H61" s="1128">
        <f t="shared" si="12"/>
        <v>0</v>
      </c>
      <c r="K61" s="1128">
        <v>6.6666666666666693E-2</v>
      </c>
      <c r="L61" s="1128">
        <v>0</v>
      </c>
      <c r="M61" s="1128">
        <v>0</v>
      </c>
      <c r="N61" s="1128">
        <v>0</v>
      </c>
      <c r="O61" s="1128">
        <v>0.28518518518518499</v>
      </c>
      <c r="P61" s="1128">
        <v>0</v>
      </c>
      <c r="Q61" s="1128">
        <v>5.5555555555555601E-2</v>
      </c>
      <c r="R61" s="1128">
        <v>0</v>
      </c>
      <c r="S61" s="1128">
        <v>1.48148148148148E-2</v>
      </c>
      <c r="T61" s="1128">
        <v>0</v>
      </c>
      <c r="U61" s="1128">
        <v>2.96296296296296E-2</v>
      </c>
      <c r="V61" s="1128">
        <v>0</v>
      </c>
      <c r="X61" s="1128">
        <f t="shared" si="13"/>
        <v>18.000000000000007</v>
      </c>
      <c r="Y61" s="1128">
        <f t="shared" si="13"/>
        <v>0</v>
      </c>
      <c r="Z61" s="1128">
        <f t="shared" si="14"/>
        <v>0</v>
      </c>
      <c r="AA61" s="1128">
        <f t="shared" si="14"/>
        <v>0</v>
      </c>
      <c r="AB61" s="1128">
        <f t="shared" si="15"/>
        <v>76.999999999999943</v>
      </c>
      <c r="AC61" s="1128">
        <f t="shared" si="15"/>
        <v>0</v>
      </c>
      <c r="AD61" s="1128">
        <f t="shared" si="16"/>
        <v>15.000000000000012</v>
      </c>
      <c r="AE61" s="1128">
        <f t="shared" si="16"/>
        <v>0</v>
      </c>
      <c r="AF61" s="1128">
        <f t="shared" si="17"/>
        <v>3.999999999999996</v>
      </c>
      <c r="AG61" s="1128">
        <f t="shared" si="17"/>
        <v>0</v>
      </c>
      <c r="AH61" s="1128">
        <f t="shared" si="18"/>
        <v>7.999999999999992</v>
      </c>
      <c r="AI61" s="1128">
        <f t="shared" si="18"/>
        <v>0</v>
      </c>
      <c r="AL61" s="1128">
        <v>0.45</v>
      </c>
      <c r="AM61" s="1128">
        <v>0</v>
      </c>
      <c r="AO61">
        <f t="shared" si="19"/>
        <v>121.5</v>
      </c>
      <c r="AP61">
        <f t="shared" si="19"/>
        <v>0</v>
      </c>
      <c r="AS61" s="309">
        <v>4.0740740740740702E-2</v>
      </c>
      <c r="AT61" s="309">
        <v>0</v>
      </c>
      <c r="AU61" s="309">
        <f t="shared" si="8"/>
        <v>-5.9259259259259303E-2</v>
      </c>
      <c r="AV61" s="1142">
        <f t="shared" si="8"/>
        <v>-0.1</v>
      </c>
      <c r="AX61">
        <f t="shared" si="9"/>
        <v>0</v>
      </c>
      <c r="AY61">
        <f t="shared" si="9"/>
        <v>0</v>
      </c>
      <c r="BA61" s="1128">
        <v>3.7313432835820895E-3</v>
      </c>
      <c r="BC61">
        <f t="shared" si="20"/>
        <v>1.0074626865671641</v>
      </c>
      <c r="BF61">
        <v>0</v>
      </c>
      <c r="BG61" s="1128"/>
    </row>
    <row r="62" spans="1:59" x14ac:dyDescent="0.2">
      <c r="A62" s="197" t="s">
        <v>95</v>
      </c>
      <c r="B62" s="1126">
        <v>2001</v>
      </c>
      <c r="C62" s="1127">
        <v>331</v>
      </c>
      <c r="D62" s="1127">
        <v>0</v>
      </c>
      <c r="E62" s="1128">
        <v>0.6493506493506489</v>
      </c>
      <c r="F62" s="1128">
        <v>0</v>
      </c>
      <c r="G62" s="1128">
        <f t="shared" si="12"/>
        <v>214.93506493506479</v>
      </c>
      <c r="H62" s="1128">
        <f t="shared" si="12"/>
        <v>0</v>
      </c>
      <c r="K62" s="1128">
        <v>0.126934984520124</v>
      </c>
      <c r="L62" s="1128">
        <v>0</v>
      </c>
      <c r="M62" s="1128">
        <v>0.108359133126935</v>
      </c>
      <c r="N62" s="1128">
        <v>0</v>
      </c>
      <c r="O62" s="1128">
        <v>3.7151702786377701E-2</v>
      </c>
      <c r="P62" s="1128">
        <v>0</v>
      </c>
      <c r="Q62" s="1128">
        <v>6.19195046439628E-2</v>
      </c>
      <c r="R62" s="1128">
        <v>0</v>
      </c>
      <c r="S62" s="1128">
        <v>0.56346749226006199</v>
      </c>
      <c r="T62" s="1128">
        <v>0</v>
      </c>
      <c r="U62" s="1128">
        <v>0</v>
      </c>
      <c r="V62" s="1128">
        <v>0</v>
      </c>
      <c r="X62" s="1128">
        <f t="shared" si="13"/>
        <v>42.015479876161045</v>
      </c>
      <c r="Y62" s="1128">
        <f t="shared" si="13"/>
        <v>0</v>
      </c>
      <c r="Z62" s="1128">
        <f t="shared" si="14"/>
        <v>35.866873065015483</v>
      </c>
      <c r="AA62" s="1128">
        <f t="shared" si="14"/>
        <v>0</v>
      </c>
      <c r="AB62" s="1128">
        <f t="shared" si="15"/>
        <v>12.29721362229102</v>
      </c>
      <c r="AC62" s="1128">
        <f t="shared" si="15"/>
        <v>0</v>
      </c>
      <c r="AD62" s="1128">
        <f t="shared" si="16"/>
        <v>20.495356037151687</v>
      </c>
      <c r="AE62" s="1128">
        <f t="shared" si="16"/>
        <v>0</v>
      </c>
      <c r="AF62" s="1128">
        <f t="shared" si="17"/>
        <v>186.5077399380805</v>
      </c>
      <c r="AG62" s="1128">
        <f t="shared" si="17"/>
        <v>0</v>
      </c>
      <c r="AH62" s="1128">
        <f t="shared" si="18"/>
        <v>0</v>
      </c>
      <c r="AI62" s="1128">
        <f t="shared" si="18"/>
        <v>0</v>
      </c>
      <c r="AL62" s="1128">
        <v>7.1174377224199295E-2</v>
      </c>
      <c r="AM62" s="1128">
        <v>0</v>
      </c>
      <c r="AO62">
        <f t="shared" si="19"/>
        <v>23.558718861209968</v>
      </c>
      <c r="AP62">
        <f t="shared" si="19"/>
        <v>0</v>
      </c>
      <c r="AS62" s="309">
        <v>0.11480362537764401</v>
      </c>
      <c r="AT62" s="309">
        <v>0</v>
      </c>
      <c r="AU62" s="309">
        <f t="shared" si="8"/>
        <v>1.4803625377644E-2</v>
      </c>
      <c r="AV62" s="1142">
        <f t="shared" si="8"/>
        <v>-0.1</v>
      </c>
      <c r="AX62">
        <f t="shared" si="9"/>
        <v>4.9000000000001638</v>
      </c>
      <c r="AY62">
        <f t="shared" si="9"/>
        <v>0</v>
      </c>
      <c r="BA62" s="1128">
        <v>9.74025974025974E-3</v>
      </c>
      <c r="BC62">
        <f t="shared" si="20"/>
        <v>3.2240259740259738</v>
      </c>
      <c r="BF62">
        <v>0</v>
      </c>
      <c r="BG62" s="1128"/>
    </row>
    <row r="63" spans="1:59" x14ac:dyDescent="0.2">
      <c r="A63" s="197" t="s">
        <v>96</v>
      </c>
      <c r="B63" s="1126">
        <v>2429</v>
      </c>
      <c r="C63" s="1127">
        <v>155</v>
      </c>
      <c r="D63" s="1127">
        <v>0</v>
      </c>
      <c r="E63" s="1128">
        <v>0.31999999999999995</v>
      </c>
      <c r="F63" s="1128">
        <v>0</v>
      </c>
      <c r="G63" s="1128">
        <f t="shared" si="12"/>
        <v>49.599999999999994</v>
      </c>
      <c r="H63" s="1128">
        <f t="shared" si="12"/>
        <v>0</v>
      </c>
      <c r="K63" s="1128">
        <v>0</v>
      </c>
      <c r="L63" s="1128">
        <v>0</v>
      </c>
      <c r="M63" s="1128">
        <v>1.9354838709677399E-2</v>
      </c>
      <c r="N63" s="1128">
        <v>0</v>
      </c>
      <c r="O63" s="1128">
        <v>0.2</v>
      </c>
      <c r="P63" s="1128">
        <v>0</v>
      </c>
      <c r="Q63" s="1128">
        <v>0.64516129032258096</v>
      </c>
      <c r="R63" s="1128">
        <v>0</v>
      </c>
      <c r="S63" s="1128">
        <v>1.9354838709677399E-2</v>
      </c>
      <c r="T63" s="1128">
        <v>0</v>
      </c>
      <c r="U63" s="1128">
        <v>9.6774193548387094E-2</v>
      </c>
      <c r="V63" s="1128">
        <v>0</v>
      </c>
      <c r="X63" s="1128">
        <f t="shared" si="13"/>
        <v>0</v>
      </c>
      <c r="Y63" s="1128">
        <f t="shared" si="13"/>
        <v>0</v>
      </c>
      <c r="Z63" s="1128">
        <f t="shared" si="14"/>
        <v>2.9999999999999969</v>
      </c>
      <c r="AA63" s="1128">
        <f t="shared" si="14"/>
        <v>0</v>
      </c>
      <c r="AB63" s="1128">
        <f t="shared" si="15"/>
        <v>31</v>
      </c>
      <c r="AC63" s="1128">
        <f t="shared" si="15"/>
        <v>0</v>
      </c>
      <c r="AD63" s="1128">
        <f t="shared" si="16"/>
        <v>100.00000000000004</v>
      </c>
      <c r="AE63" s="1128">
        <f t="shared" si="16"/>
        <v>0</v>
      </c>
      <c r="AF63" s="1128">
        <f t="shared" si="17"/>
        <v>2.9999999999999969</v>
      </c>
      <c r="AG63" s="1128">
        <f t="shared" si="17"/>
        <v>0</v>
      </c>
      <c r="AH63" s="1128">
        <f t="shared" si="18"/>
        <v>15</v>
      </c>
      <c r="AI63" s="1128">
        <f t="shared" si="18"/>
        <v>0</v>
      </c>
      <c r="AL63" s="1128">
        <v>0.76190476190476197</v>
      </c>
      <c r="AM63" s="1128">
        <v>0</v>
      </c>
      <c r="AO63">
        <f t="shared" si="19"/>
        <v>118.0952380952381</v>
      </c>
      <c r="AP63">
        <f t="shared" si="19"/>
        <v>0</v>
      </c>
      <c r="AS63" s="309">
        <v>1.2903225806451601E-2</v>
      </c>
      <c r="AT63" s="309">
        <v>0</v>
      </c>
      <c r="AU63" s="309">
        <f t="shared" si="8"/>
        <v>-8.7096774193548401E-2</v>
      </c>
      <c r="AV63" s="1142">
        <f t="shared" si="8"/>
        <v>-0.1</v>
      </c>
      <c r="AX63">
        <f t="shared" si="9"/>
        <v>0</v>
      </c>
      <c r="AY63">
        <f t="shared" si="9"/>
        <v>0</v>
      </c>
      <c r="BA63" s="1128">
        <v>1.3333333333333334E-2</v>
      </c>
      <c r="BC63">
        <f t="shared" si="20"/>
        <v>2.0666666666666669</v>
      </c>
      <c r="BF63">
        <v>0</v>
      </c>
      <c r="BG63" s="1128"/>
    </row>
    <row r="64" spans="1:59" x14ac:dyDescent="0.2">
      <c r="A64" s="1145" t="s">
        <v>123</v>
      </c>
      <c r="B64" s="1146">
        <v>4607</v>
      </c>
      <c r="C64" s="1127">
        <v>0</v>
      </c>
      <c r="D64" s="1127">
        <v>1156</v>
      </c>
      <c r="E64" s="1128">
        <v>0</v>
      </c>
      <c r="F64" s="1128">
        <v>0.30717299578059071</v>
      </c>
      <c r="G64" s="1128">
        <f t="shared" si="12"/>
        <v>0</v>
      </c>
      <c r="H64" s="1128">
        <f t="shared" si="12"/>
        <v>355.09198312236288</v>
      </c>
      <c r="K64" s="1128">
        <v>0</v>
      </c>
      <c r="L64" s="1128">
        <v>5.2901023890785E-2</v>
      </c>
      <c r="M64" s="1128">
        <v>0</v>
      </c>
      <c r="N64" s="1128">
        <v>0.104948805460751</v>
      </c>
      <c r="O64" s="1128">
        <v>0</v>
      </c>
      <c r="P64" s="1128">
        <v>0.18941979522184299</v>
      </c>
      <c r="Q64" s="1128">
        <v>0</v>
      </c>
      <c r="R64" s="1128">
        <v>0.13395904436860101</v>
      </c>
      <c r="S64" s="1128">
        <v>0</v>
      </c>
      <c r="T64" s="1128">
        <v>8.8737201365187701E-2</v>
      </c>
      <c r="U64" s="1128">
        <v>0</v>
      </c>
      <c r="V64" s="1128">
        <v>0.103242320819113</v>
      </c>
      <c r="X64" s="1128">
        <f t="shared" si="13"/>
        <v>0</v>
      </c>
      <c r="Y64" s="1128">
        <f t="shared" si="13"/>
        <v>61.153583617747458</v>
      </c>
      <c r="Z64" s="1128">
        <f t="shared" si="14"/>
        <v>0</v>
      </c>
      <c r="AA64" s="1128">
        <f t="shared" si="14"/>
        <v>121.32081911262816</v>
      </c>
      <c r="AB64" s="1128">
        <f t="shared" si="15"/>
        <v>0</v>
      </c>
      <c r="AC64" s="1128">
        <f t="shared" si="15"/>
        <v>218.96928327645048</v>
      </c>
      <c r="AD64" s="1128">
        <f t="shared" si="16"/>
        <v>0</v>
      </c>
      <c r="AE64" s="1128">
        <f t="shared" si="16"/>
        <v>154.85665529010276</v>
      </c>
      <c r="AF64" s="1128">
        <f t="shared" si="17"/>
        <v>0</v>
      </c>
      <c r="AG64" s="1128">
        <f t="shared" si="17"/>
        <v>102.58020477815698</v>
      </c>
      <c r="AH64" s="1128">
        <f t="shared" si="18"/>
        <v>0</v>
      </c>
      <c r="AI64" s="1128">
        <f t="shared" si="18"/>
        <v>119.34812286689463</v>
      </c>
      <c r="AL64" s="1128">
        <v>0</v>
      </c>
      <c r="AM64" s="1128">
        <v>3.4863945578231303E-2</v>
      </c>
      <c r="AO64">
        <f t="shared" si="19"/>
        <v>0</v>
      </c>
      <c r="AP64">
        <f t="shared" si="19"/>
        <v>40.302721088435383</v>
      </c>
      <c r="AS64" s="309">
        <v>0</v>
      </c>
      <c r="AT64" s="309">
        <v>5.2721088435374201E-2</v>
      </c>
      <c r="AU64" s="309">
        <f t="shared" si="8"/>
        <v>-0.1</v>
      </c>
      <c r="AV64" s="1142">
        <f t="shared" si="8"/>
        <v>-4.7278911564625804E-2</v>
      </c>
      <c r="AX64">
        <f t="shared" si="9"/>
        <v>0</v>
      </c>
      <c r="AY64">
        <f t="shared" si="9"/>
        <v>0</v>
      </c>
      <c r="BA64" s="1128">
        <v>3.3755274261603376E-3</v>
      </c>
      <c r="BC64">
        <f>BA64*D64</f>
        <v>3.9021097046413504</v>
      </c>
      <c r="BF64">
        <v>0.29092702169625201</v>
      </c>
      <c r="BG64" s="1128">
        <f>BF64*D64</f>
        <v>336.31163708086734</v>
      </c>
    </row>
    <row r="65" spans="1:59" x14ac:dyDescent="0.2">
      <c r="A65" s="197" t="s">
        <v>97</v>
      </c>
      <c r="B65" s="1126">
        <v>2444</v>
      </c>
      <c r="C65" s="1127">
        <v>209</v>
      </c>
      <c r="D65" s="1127">
        <v>0</v>
      </c>
      <c r="E65" s="1128">
        <v>0.27403846153846162</v>
      </c>
      <c r="F65" s="1128">
        <v>0</v>
      </c>
      <c r="G65" s="1128">
        <f t="shared" si="12"/>
        <v>57.274038461538481</v>
      </c>
      <c r="H65" s="1128">
        <f t="shared" si="12"/>
        <v>0</v>
      </c>
      <c r="K65" s="1128">
        <v>0.11004784688995201</v>
      </c>
      <c r="L65" s="1128">
        <v>0</v>
      </c>
      <c r="M65" s="1128">
        <v>0.26794258373205698</v>
      </c>
      <c r="N65" s="1128">
        <v>0</v>
      </c>
      <c r="O65" s="1128">
        <v>1.43540669856459E-2</v>
      </c>
      <c r="P65" s="1128">
        <v>0</v>
      </c>
      <c r="Q65" s="1128">
        <v>0.28229665071770299</v>
      </c>
      <c r="R65" s="1128">
        <v>0</v>
      </c>
      <c r="S65" s="1128">
        <v>8.1339712918660295E-2</v>
      </c>
      <c r="T65" s="1128">
        <v>0</v>
      </c>
      <c r="U65" s="1128">
        <v>6.2200956937799E-2</v>
      </c>
      <c r="V65" s="1128">
        <v>0</v>
      </c>
      <c r="X65" s="1128">
        <f t="shared" si="13"/>
        <v>22.999999999999968</v>
      </c>
      <c r="Y65" s="1128">
        <f t="shared" si="13"/>
        <v>0</v>
      </c>
      <c r="Z65" s="1128">
        <f t="shared" si="14"/>
        <v>55.999999999999908</v>
      </c>
      <c r="AA65" s="1128">
        <f t="shared" si="14"/>
        <v>0</v>
      </c>
      <c r="AB65" s="1128">
        <f t="shared" si="15"/>
        <v>2.9999999999999933</v>
      </c>
      <c r="AC65" s="1128">
        <f t="shared" si="15"/>
        <v>0</v>
      </c>
      <c r="AD65" s="1128">
        <f t="shared" si="16"/>
        <v>58.999999999999922</v>
      </c>
      <c r="AE65" s="1128">
        <f t="shared" si="16"/>
        <v>0</v>
      </c>
      <c r="AF65" s="1128">
        <f t="shared" si="17"/>
        <v>17</v>
      </c>
      <c r="AG65" s="1128">
        <f t="shared" si="17"/>
        <v>0</v>
      </c>
      <c r="AH65" s="1128">
        <f t="shared" si="18"/>
        <v>12.999999999999991</v>
      </c>
      <c r="AI65" s="1128">
        <f t="shared" si="18"/>
        <v>0</v>
      </c>
      <c r="AL65" s="1128">
        <v>6.4285714285714293E-2</v>
      </c>
      <c r="AM65" s="1128">
        <v>0</v>
      </c>
      <c r="AO65">
        <f t="shared" si="19"/>
        <v>13.435714285714287</v>
      </c>
      <c r="AP65">
        <f t="shared" si="19"/>
        <v>0</v>
      </c>
      <c r="AS65" s="309">
        <v>2.39234449760766E-2</v>
      </c>
      <c r="AT65" s="309">
        <v>0</v>
      </c>
      <c r="AU65" s="309">
        <f t="shared" si="8"/>
        <v>-7.6076555023923409E-2</v>
      </c>
      <c r="AV65" s="1142">
        <f t="shared" si="8"/>
        <v>-0.1</v>
      </c>
      <c r="AX65">
        <f t="shared" si="9"/>
        <v>0</v>
      </c>
      <c r="AY65">
        <f t="shared" si="9"/>
        <v>0</v>
      </c>
      <c r="BA65" s="1128">
        <v>4.807692307692308E-3</v>
      </c>
      <c r="BC65">
        <f>BA65*C65</f>
        <v>1.0048076923076923</v>
      </c>
      <c r="BF65">
        <v>0</v>
      </c>
      <c r="BG65" s="1128"/>
    </row>
    <row r="66" spans="1:59" x14ac:dyDescent="0.2">
      <c r="A66" s="197" t="s">
        <v>98</v>
      </c>
      <c r="B66" s="1126">
        <v>5209</v>
      </c>
      <c r="C66" s="1127">
        <v>270</v>
      </c>
      <c r="D66" s="1127">
        <v>0</v>
      </c>
      <c r="E66" s="1128">
        <v>0.40942028985507245</v>
      </c>
      <c r="F66" s="1128">
        <v>0</v>
      </c>
      <c r="G66" s="1128">
        <f t="shared" si="12"/>
        <v>110.54347826086956</v>
      </c>
      <c r="H66" s="1128">
        <f t="shared" si="12"/>
        <v>0</v>
      </c>
      <c r="K66" s="1128">
        <v>0.14606741573033699</v>
      </c>
      <c r="L66" s="1128">
        <v>0</v>
      </c>
      <c r="M66" s="1128">
        <v>0.22846441947565499</v>
      </c>
      <c r="N66" s="1128">
        <v>0</v>
      </c>
      <c r="O66" s="1128">
        <v>4.11985018726592E-2</v>
      </c>
      <c r="P66" s="1128">
        <v>0</v>
      </c>
      <c r="Q66" s="1128">
        <v>0.23220973782771501</v>
      </c>
      <c r="R66" s="1128">
        <v>0</v>
      </c>
      <c r="S66" s="1128">
        <v>0.10486891385767801</v>
      </c>
      <c r="T66" s="1128">
        <v>0</v>
      </c>
      <c r="U66" s="1128">
        <v>7.8651685393258397E-2</v>
      </c>
      <c r="V66" s="1128">
        <v>0</v>
      </c>
      <c r="X66" s="1128">
        <f t="shared" si="13"/>
        <v>39.438202247190986</v>
      </c>
      <c r="Y66" s="1128">
        <f t="shared" si="13"/>
        <v>0</v>
      </c>
      <c r="Z66" s="1128">
        <f t="shared" si="14"/>
        <v>61.685393258426849</v>
      </c>
      <c r="AA66" s="1128">
        <f t="shared" si="14"/>
        <v>0</v>
      </c>
      <c r="AB66" s="1128">
        <f t="shared" si="15"/>
        <v>11.123595505617985</v>
      </c>
      <c r="AC66" s="1128">
        <f t="shared" si="15"/>
        <v>0</v>
      </c>
      <c r="AD66" s="1128">
        <f t="shared" si="16"/>
        <v>62.69662921348305</v>
      </c>
      <c r="AE66" s="1128">
        <f t="shared" si="16"/>
        <v>0</v>
      </c>
      <c r="AF66" s="1128">
        <f t="shared" si="17"/>
        <v>28.314606741573062</v>
      </c>
      <c r="AG66" s="1128">
        <f t="shared" si="17"/>
        <v>0</v>
      </c>
      <c r="AH66" s="1128">
        <f t="shared" si="18"/>
        <v>21.235955056179769</v>
      </c>
      <c r="AI66" s="1128">
        <f t="shared" si="18"/>
        <v>0</v>
      </c>
      <c r="AL66" s="1128">
        <v>2.5925925925925901E-2</v>
      </c>
      <c r="AM66" s="1128">
        <v>0</v>
      </c>
      <c r="AO66">
        <f t="shared" si="19"/>
        <v>6.9999999999999929</v>
      </c>
      <c r="AP66">
        <f t="shared" si="19"/>
        <v>0</v>
      </c>
      <c r="AS66" s="309">
        <v>4.4444444444444398E-2</v>
      </c>
      <c r="AT66" s="309">
        <v>0</v>
      </c>
      <c r="AU66" s="309">
        <f t="shared" si="8"/>
        <v>-5.5555555555555608E-2</v>
      </c>
      <c r="AV66" s="1142">
        <f t="shared" si="8"/>
        <v>-0.1</v>
      </c>
      <c r="AX66">
        <f t="shared" si="9"/>
        <v>0</v>
      </c>
      <c r="AY66">
        <f t="shared" si="9"/>
        <v>0</v>
      </c>
      <c r="BA66" s="1128">
        <v>0</v>
      </c>
      <c r="BC66">
        <f>BA66*C66</f>
        <v>0</v>
      </c>
      <c r="BF66">
        <v>0</v>
      </c>
      <c r="BG66" s="1128"/>
    </row>
    <row r="67" spans="1:59" x14ac:dyDescent="0.2">
      <c r="A67" s="197" t="s">
        <v>99</v>
      </c>
      <c r="B67" s="1126">
        <v>2469</v>
      </c>
      <c r="C67" s="1127">
        <v>412</v>
      </c>
      <c r="D67" s="1127">
        <v>0</v>
      </c>
      <c r="E67" s="1128">
        <v>0.1486146095717884</v>
      </c>
      <c r="F67" s="1128">
        <v>0</v>
      </c>
      <c r="G67" s="1128">
        <f t="shared" ref="G67:H86" si="21">E67*C67</f>
        <v>61.22921914357682</v>
      </c>
      <c r="H67" s="1128">
        <f t="shared" si="21"/>
        <v>0</v>
      </c>
      <c r="K67" s="1128">
        <v>4.1564792176039103E-2</v>
      </c>
      <c r="L67" s="1128">
        <v>0</v>
      </c>
      <c r="M67" s="1128">
        <v>3.4229828850855702E-2</v>
      </c>
      <c r="N67" s="1128">
        <v>0</v>
      </c>
      <c r="O67" s="1128">
        <v>6.8459657701711502E-2</v>
      </c>
      <c r="P67" s="1128">
        <v>0</v>
      </c>
      <c r="Q67" s="1128">
        <v>1.22249388753056E-2</v>
      </c>
      <c r="R67" s="1128">
        <v>0</v>
      </c>
      <c r="S67" s="1128">
        <v>1.22249388753056E-2</v>
      </c>
      <c r="T67" s="1128">
        <v>0</v>
      </c>
      <c r="U67" s="1128">
        <v>0</v>
      </c>
      <c r="V67" s="1128">
        <v>0</v>
      </c>
      <c r="X67" s="1128">
        <f t="shared" ref="X67:Y86" si="22">K67*C67</f>
        <v>17.124694376528112</v>
      </c>
      <c r="Y67" s="1128">
        <f t="shared" si="22"/>
        <v>0</v>
      </c>
      <c r="Z67" s="1128">
        <f t="shared" ref="Z67:AA86" si="23">M67*C67</f>
        <v>14.102689486552549</v>
      </c>
      <c r="AA67" s="1128">
        <f t="shared" si="23"/>
        <v>0</v>
      </c>
      <c r="AB67" s="1128">
        <f t="shared" ref="AB67:AC86" si="24">O67*C67</f>
        <v>28.205378973105137</v>
      </c>
      <c r="AC67" s="1128">
        <f t="shared" si="24"/>
        <v>0</v>
      </c>
      <c r="AD67" s="1128">
        <f t="shared" ref="AD67:AE86" si="25">Q67*C67</f>
        <v>5.036674816625907</v>
      </c>
      <c r="AE67" s="1128">
        <f t="shared" si="25"/>
        <v>0</v>
      </c>
      <c r="AF67" s="1128">
        <f t="shared" ref="AF67:AG86" si="26">S67*C67</f>
        <v>5.036674816625907</v>
      </c>
      <c r="AG67" s="1128">
        <f t="shared" si="26"/>
        <v>0</v>
      </c>
      <c r="AH67" s="1128">
        <f t="shared" ref="AH67:AI86" si="27">U67*C67</f>
        <v>0</v>
      </c>
      <c r="AI67" s="1128">
        <f t="shared" si="27"/>
        <v>0</v>
      </c>
      <c r="AL67" s="1128">
        <v>8.7818696883852701E-2</v>
      </c>
      <c r="AM67" s="1128">
        <v>0</v>
      </c>
      <c r="AO67">
        <f t="shared" ref="AO67:AP86" si="28">AL67*C67</f>
        <v>36.181303116147312</v>
      </c>
      <c r="AP67">
        <f t="shared" si="28"/>
        <v>0</v>
      </c>
      <c r="AS67" s="309">
        <v>0.15533980582524301</v>
      </c>
      <c r="AT67" s="309">
        <v>0</v>
      </c>
      <c r="AU67" s="309">
        <f t="shared" si="8"/>
        <v>5.5339805825243005E-2</v>
      </c>
      <c r="AV67" s="1142">
        <f t="shared" si="8"/>
        <v>-0.1</v>
      </c>
      <c r="AX67">
        <f t="shared" si="9"/>
        <v>22.800000000000118</v>
      </c>
      <c r="AY67">
        <f t="shared" si="9"/>
        <v>0</v>
      </c>
      <c r="BA67" s="1128">
        <v>2.5188916876574307E-3</v>
      </c>
      <c r="BC67">
        <f>BA67*C67</f>
        <v>1.0377833753148615</v>
      </c>
      <c r="BF67">
        <v>0</v>
      </c>
      <c r="BG67" s="1128"/>
    </row>
    <row r="68" spans="1:59" x14ac:dyDescent="0.2">
      <c r="A68" s="197" t="s">
        <v>1073</v>
      </c>
      <c r="B68" s="221">
        <v>4002</v>
      </c>
      <c r="C68" s="1127">
        <v>0</v>
      </c>
      <c r="D68" s="1127">
        <v>750</v>
      </c>
      <c r="E68" s="1128">
        <v>0</v>
      </c>
      <c r="F68" s="1128">
        <v>0.49036144578313251</v>
      </c>
      <c r="G68" s="1128">
        <f t="shared" si="21"/>
        <v>0</v>
      </c>
      <c r="H68" s="1128">
        <f t="shared" si="21"/>
        <v>367.77108433734941</v>
      </c>
      <c r="K68" s="1128">
        <v>0</v>
      </c>
      <c r="L68" s="1128">
        <v>8.9692101740294503E-2</v>
      </c>
      <c r="M68" s="1128">
        <v>0</v>
      </c>
      <c r="N68" s="1128">
        <v>1.7402945113788499E-2</v>
      </c>
      <c r="O68" s="1128">
        <v>0</v>
      </c>
      <c r="P68" s="1128">
        <v>0.26907630522088399</v>
      </c>
      <c r="Q68" s="1128">
        <v>0</v>
      </c>
      <c r="R68" s="1128">
        <v>0.211512717536814</v>
      </c>
      <c r="S68" s="1128">
        <v>0</v>
      </c>
      <c r="T68" s="1128">
        <v>3.6144578313252997E-2</v>
      </c>
      <c r="U68" s="1128">
        <v>0</v>
      </c>
      <c r="V68" s="1128">
        <v>0.14056224899598399</v>
      </c>
      <c r="X68" s="1128">
        <f t="shared" si="22"/>
        <v>0</v>
      </c>
      <c r="Y68" s="1128">
        <f t="shared" si="22"/>
        <v>67.269076305220878</v>
      </c>
      <c r="Z68" s="1128">
        <f t="shared" si="23"/>
        <v>0</v>
      </c>
      <c r="AA68" s="1128">
        <f t="shared" si="23"/>
        <v>13.052208835341375</v>
      </c>
      <c r="AB68" s="1128">
        <f t="shared" si="24"/>
        <v>0</v>
      </c>
      <c r="AC68" s="1128">
        <f t="shared" si="24"/>
        <v>201.80722891566299</v>
      </c>
      <c r="AD68" s="1128">
        <f t="shared" si="25"/>
        <v>0</v>
      </c>
      <c r="AE68" s="1128">
        <f t="shared" si="25"/>
        <v>158.6345381526105</v>
      </c>
      <c r="AF68" s="1128">
        <f t="shared" si="26"/>
        <v>0</v>
      </c>
      <c r="AG68" s="1128">
        <f t="shared" si="26"/>
        <v>27.108433734939748</v>
      </c>
      <c r="AH68" s="1128">
        <f t="shared" si="27"/>
        <v>0</v>
      </c>
      <c r="AI68" s="1128">
        <f t="shared" si="27"/>
        <v>105.42168674698799</v>
      </c>
      <c r="AL68" s="1128">
        <v>0</v>
      </c>
      <c r="AM68" s="1128">
        <v>6.8000000000000005E-2</v>
      </c>
      <c r="AO68">
        <f t="shared" si="28"/>
        <v>0</v>
      </c>
      <c r="AP68">
        <f t="shared" si="28"/>
        <v>51.000000000000007</v>
      </c>
      <c r="AS68" s="1150">
        <v>0</v>
      </c>
      <c r="AT68" s="1147">
        <v>0.84133333333333304</v>
      </c>
      <c r="AU68" s="309">
        <f t="shared" ref="AU68:AV86" si="29">AS68-10%</f>
        <v>-0.1</v>
      </c>
      <c r="AV68" s="1142">
        <f t="shared" si="29"/>
        <v>0.74133333333333307</v>
      </c>
      <c r="AX68">
        <f t="shared" ref="AX68:AY86" si="30">IF(AU68&gt;0,AU68*C68,0)</f>
        <v>0</v>
      </c>
      <c r="AY68">
        <f t="shared" si="30"/>
        <v>555.99999999999977</v>
      </c>
      <c r="BA68" s="1128">
        <v>6.024096385542169E-3</v>
      </c>
      <c r="BC68">
        <f>BA68*D68</f>
        <v>4.5180722891566267</v>
      </c>
      <c r="BF68">
        <v>0.448160535117057</v>
      </c>
      <c r="BG68" s="1128">
        <f>BF68*D68</f>
        <v>336.12040133779277</v>
      </c>
    </row>
    <row r="69" spans="1:59" x14ac:dyDescent="0.2">
      <c r="A69" s="197" t="s">
        <v>100</v>
      </c>
      <c r="B69" s="1126">
        <v>2430</v>
      </c>
      <c r="C69" s="1127">
        <v>113</v>
      </c>
      <c r="D69" s="1127">
        <v>0</v>
      </c>
      <c r="E69" s="1128">
        <v>0.58407079646017701</v>
      </c>
      <c r="F69" s="1128">
        <v>0</v>
      </c>
      <c r="G69" s="1128">
        <f t="shared" si="21"/>
        <v>66</v>
      </c>
      <c r="H69" s="1128">
        <f t="shared" si="21"/>
        <v>0</v>
      </c>
      <c r="K69" s="1128">
        <v>2.6548672566371698E-2</v>
      </c>
      <c r="L69" s="1128">
        <v>0</v>
      </c>
      <c r="M69" s="1128">
        <v>3.5398230088495602E-2</v>
      </c>
      <c r="N69" s="1128">
        <v>0</v>
      </c>
      <c r="O69" s="1128">
        <v>0.238938053097345</v>
      </c>
      <c r="P69" s="1128">
        <v>0</v>
      </c>
      <c r="Q69" s="1128">
        <v>2.6548672566371698E-2</v>
      </c>
      <c r="R69" s="1128">
        <v>0</v>
      </c>
      <c r="S69" s="1128">
        <v>3.5398230088495602E-2</v>
      </c>
      <c r="T69" s="1128">
        <v>0</v>
      </c>
      <c r="U69" s="1128">
        <v>0.61946902654867297</v>
      </c>
      <c r="V69" s="1128">
        <v>0</v>
      </c>
      <c r="X69" s="1128">
        <f t="shared" si="22"/>
        <v>3.0000000000000018</v>
      </c>
      <c r="Y69" s="1128">
        <f t="shared" si="22"/>
        <v>0</v>
      </c>
      <c r="Z69" s="1128">
        <f t="shared" si="23"/>
        <v>4.0000000000000027</v>
      </c>
      <c r="AA69" s="1128">
        <f t="shared" si="23"/>
        <v>0</v>
      </c>
      <c r="AB69" s="1128">
        <f t="shared" si="24"/>
        <v>26.999999999999986</v>
      </c>
      <c r="AC69" s="1128">
        <f t="shared" si="24"/>
        <v>0</v>
      </c>
      <c r="AD69" s="1128">
        <f t="shared" si="25"/>
        <v>3.0000000000000018</v>
      </c>
      <c r="AE69" s="1128">
        <f t="shared" si="25"/>
        <v>0</v>
      </c>
      <c r="AF69" s="1128">
        <f t="shared" si="26"/>
        <v>4.0000000000000027</v>
      </c>
      <c r="AG69" s="1128">
        <f t="shared" si="26"/>
        <v>0</v>
      </c>
      <c r="AH69" s="1128">
        <f t="shared" si="27"/>
        <v>70.000000000000043</v>
      </c>
      <c r="AI69" s="1128">
        <f t="shared" si="27"/>
        <v>0</v>
      </c>
      <c r="AL69" s="1128">
        <v>0.29032258064516098</v>
      </c>
      <c r="AM69" s="1128">
        <v>0</v>
      </c>
      <c r="AO69">
        <f t="shared" si="28"/>
        <v>32.806451612903189</v>
      </c>
      <c r="AP69">
        <f t="shared" si="28"/>
        <v>0</v>
      </c>
      <c r="AS69" s="309">
        <v>0.123893805309735</v>
      </c>
      <c r="AT69" s="309">
        <v>0</v>
      </c>
      <c r="AU69" s="309">
        <f t="shared" si="29"/>
        <v>2.3893805309734992E-2</v>
      </c>
      <c r="AV69" s="1142">
        <f t="shared" si="29"/>
        <v>-0.1</v>
      </c>
      <c r="AX69">
        <f t="shared" si="30"/>
        <v>2.7000000000000539</v>
      </c>
      <c r="AY69">
        <f t="shared" si="30"/>
        <v>0</v>
      </c>
      <c r="BA69" s="1128">
        <v>0</v>
      </c>
      <c r="BC69">
        <f t="shared" ref="BC69:BC79" si="31">BA69*C69</f>
        <v>0</v>
      </c>
      <c r="BF69">
        <v>0</v>
      </c>
      <c r="BG69" s="1128"/>
    </row>
    <row r="70" spans="1:59" x14ac:dyDescent="0.2">
      <c r="A70" s="197" t="s">
        <v>101</v>
      </c>
      <c r="B70" s="1126">
        <v>2466</v>
      </c>
      <c r="C70" s="1127">
        <v>164</v>
      </c>
      <c r="D70" s="1127">
        <v>0</v>
      </c>
      <c r="E70" s="1128">
        <v>0.34337349397590361</v>
      </c>
      <c r="F70" s="1128">
        <v>0</v>
      </c>
      <c r="G70" s="1128">
        <f t="shared" si="21"/>
        <v>56.313253012048193</v>
      </c>
      <c r="H70" s="1128">
        <f t="shared" si="21"/>
        <v>0</v>
      </c>
      <c r="K70" s="1128">
        <v>0.27218934911242598</v>
      </c>
      <c r="L70" s="1128">
        <v>0</v>
      </c>
      <c r="M70" s="1128">
        <v>0.14792899408283999</v>
      </c>
      <c r="N70" s="1128">
        <v>0</v>
      </c>
      <c r="O70" s="1128">
        <v>3.5502958579881699E-2</v>
      </c>
      <c r="P70" s="1128">
        <v>0</v>
      </c>
      <c r="Q70" s="1128">
        <v>2.9585798816568001E-2</v>
      </c>
      <c r="R70" s="1128">
        <v>0</v>
      </c>
      <c r="S70" s="1128">
        <v>5.32544378698225E-2</v>
      </c>
      <c r="T70" s="1128">
        <v>0</v>
      </c>
      <c r="U70" s="1128">
        <v>0</v>
      </c>
      <c r="V70" s="1128">
        <v>0</v>
      </c>
      <c r="X70" s="1128">
        <f t="shared" si="22"/>
        <v>44.639053254437862</v>
      </c>
      <c r="Y70" s="1128">
        <f t="shared" si="22"/>
        <v>0</v>
      </c>
      <c r="Z70" s="1128">
        <f t="shared" si="23"/>
        <v>24.26035502958576</v>
      </c>
      <c r="AA70" s="1128">
        <f t="shared" si="23"/>
        <v>0</v>
      </c>
      <c r="AB70" s="1128">
        <f t="shared" si="24"/>
        <v>5.8224852071005984</v>
      </c>
      <c r="AC70" s="1128">
        <f t="shared" si="24"/>
        <v>0</v>
      </c>
      <c r="AD70" s="1128">
        <f t="shared" si="25"/>
        <v>4.8520710059171517</v>
      </c>
      <c r="AE70" s="1128">
        <f t="shared" si="25"/>
        <v>0</v>
      </c>
      <c r="AF70" s="1128">
        <f t="shared" si="26"/>
        <v>8.7337278106508904</v>
      </c>
      <c r="AG70" s="1128">
        <f t="shared" si="26"/>
        <v>0</v>
      </c>
      <c r="AH70" s="1128">
        <f t="shared" si="27"/>
        <v>0</v>
      </c>
      <c r="AI70" s="1128">
        <f t="shared" si="27"/>
        <v>0</v>
      </c>
      <c r="AL70" s="1128">
        <v>4.0268456375838903E-2</v>
      </c>
      <c r="AM70" s="1128">
        <v>0</v>
      </c>
      <c r="AO70">
        <f t="shared" si="28"/>
        <v>6.6040268456375797</v>
      </c>
      <c r="AP70">
        <f t="shared" si="28"/>
        <v>0</v>
      </c>
      <c r="AS70" s="309">
        <v>0.188235294117647</v>
      </c>
      <c r="AT70" s="309">
        <v>0</v>
      </c>
      <c r="AU70" s="309">
        <f t="shared" si="29"/>
        <v>8.8235294117646995E-2</v>
      </c>
      <c r="AV70" s="1142">
        <f t="shared" si="29"/>
        <v>-0.1</v>
      </c>
      <c r="AX70">
        <f t="shared" si="30"/>
        <v>14.470588235294107</v>
      </c>
      <c r="AY70">
        <f t="shared" si="30"/>
        <v>0</v>
      </c>
      <c r="BA70" s="1128">
        <v>1.2048192771084338E-2</v>
      </c>
      <c r="BC70">
        <f t="shared" si="31"/>
        <v>1.9759036144578315</v>
      </c>
      <c r="BF70">
        <v>0</v>
      </c>
      <c r="BG70" s="1128"/>
    </row>
    <row r="71" spans="1:59" x14ac:dyDescent="0.2">
      <c r="A71" s="197" t="s">
        <v>102</v>
      </c>
      <c r="B71" s="1126">
        <v>3543</v>
      </c>
      <c r="C71" s="1127">
        <v>293</v>
      </c>
      <c r="D71" s="1127">
        <v>0</v>
      </c>
      <c r="E71" s="1128">
        <v>0.20905923344947736</v>
      </c>
      <c r="F71" s="1128">
        <v>0</v>
      </c>
      <c r="G71" s="1128">
        <f t="shared" si="21"/>
        <v>61.254355400696866</v>
      </c>
      <c r="H71" s="1128">
        <f t="shared" si="21"/>
        <v>0</v>
      </c>
      <c r="K71" s="1128">
        <v>0.134020618556701</v>
      </c>
      <c r="L71" s="1128">
        <v>0</v>
      </c>
      <c r="M71" s="1128">
        <v>4.8109965635738799E-2</v>
      </c>
      <c r="N71" s="1128">
        <v>0</v>
      </c>
      <c r="O71" s="1128">
        <v>0.14776632302405501</v>
      </c>
      <c r="P71" s="1128">
        <v>0</v>
      </c>
      <c r="Q71" s="1128">
        <v>3.78006872852234E-2</v>
      </c>
      <c r="R71" s="1128">
        <v>0</v>
      </c>
      <c r="S71" s="1128">
        <v>0.11683848797250899</v>
      </c>
      <c r="T71" s="1128">
        <v>0</v>
      </c>
      <c r="U71" s="1128">
        <v>6.8728522336769802E-3</v>
      </c>
      <c r="V71" s="1128">
        <v>0</v>
      </c>
      <c r="X71" s="1128">
        <f t="shared" si="22"/>
        <v>39.268041237113394</v>
      </c>
      <c r="Y71" s="1128">
        <f t="shared" si="22"/>
        <v>0</v>
      </c>
      <c r="Z71" s="1128">
        <f t="shared" si="23"/>
        <v>14.096219931271468</v>
      </c>
      <c r="AA71" s="1128">
        <f t="shared" si="23"/>
        <v>0</v>
      </c>
      <c r="AB71" s="1128">
        <f t="shared" si="24"/>
        <v>43.295532646048116</v>
      </c>
      <c r="AC71" s="1128">
        <f t="shared" si="24"/>
        <v>0</v>
      </c>
      <c r="AD71" s="1128">
        <f t="shared" si="25"/>
        <v>11.075601374570455</v>
      </c>
      <c r="AE71" s="1128">
        <f t="shared" si="25"/>
        <v>0</v>
      </c>
      <c r="AF71" s="1128">
        <f t="shared" si="26"/>
        <v>34.233676975945137</v>
      </c>
      <c r="AG71" s="1128">
        <f t="shared" si="26"/>
        <v>0</v>
      </c>
      <c r="AH71" s="1128">
        <f t="shared" si="27"/>
        <v>2.0137457044673552</v>
      </c>
      <c r="AI71" s="1128">
        <f t="shared" si="27"/>
        <v>0</v>
      </c>
      <c r="AL71" s="1128">
        <v>8.8709677419354802E-2</v>
      </c>
      <c r="AM71" s="1128">
        <v>0</v>
      </c>
      <c r="AO71">
        <f t="shared" si="28"/>
        <v>25.991935483870957</v>
      </c>
      <c r="AP71">
        <f t="shared" si="28"/>
        <v>0</v>
      </c>
      <c r="AS71" s="309">
        <v>2.7303754266211601E-2</v>
      </c>
      <c r="AT71" s="309">
        <v>0</v>
      </c>
      <c r="AU71" s="309">
        <f t="shared" si="29"/>
        <v>-7.2696245733788412E-2</v>
      </c>
      <c r="AV71" s="1142">
        <f t="shared" si="29"/>
        <v>-0.1</v>
      </c>
      <c r="AX71">
        <f t="shared" si="30"/>
        <v>0</v>
      </c>
      <c r="AY71">
        <f t="shared" si="30"/>
        <v>0</v>
      </c>
      <c r="BA71" s="1128">
        <v>0</v>
      </c>
      <c r="BC71">
        <f t="shared" si="31"/>
        <v>0</v>
      </c>
      <c r="BF71">
        <v>0</v>
      </c>
      <c r="BG71" s="1128"/>
    </row>
    <row r="72" spans="1:59" x14ac:dyDescent="0.2">
      <c r="A72" s="1145" t="s">
        <v>104</v>
      </c>
      <c r="B72" s="1146">
        <v>3531</v>
      </c>
      <c r="C72" s="1127">
        <v>350</v>
      </c>
      <c r="D72" s="1127">
        <v>0</v>
      </c>
      <c r="E72" s="1128">
        <v>0.32456140350877183</v>
      </c>
      <c r="F72" s="1128">
        <v>0</v>
      </c>
      <c r="G72" s="1128">
        <f t="shared" si="21"/>
        <v>113.59649122807014</v>
      </c>
      <c r="H72" s="1128">
        <f t="shared" si="21"/>
        <v>0</v>
      </c>
      <c r="K72" s="1128">
        <v>5.2478134110787202E-2</v>
      </c>
      <c r="L72" s="1128">
        <v>0</v>
      </c>
      <c r="M72" s="1128">
        <v>1.1661807580174899E-2</v>
      </c>
      <c r="N72" s="1128">
        <v>0</v>
      </c>
      <c r="O72" s="1128">
        <v>0.131195335276968</v>
      </c>
      <c r="P72" s="1128">
        <v>0</v>
      </c>
      <c r="Q72" s="1128">
        <v>0.157434402332362</v>
      </c>
      <c r="R72" s="1128">
        <v>0</v>
      </c>
      <c r="S72" s="1128">
        <v>4.3731778425656002E-2</v>
      </c>
      <c r="T72" s="1128">
        <v>0</v>
      </c>
      <c r="U72" s="1128">
        <v>0.16618075801749299</v>
      </c>
      <c r="V72" s="1128">
        <v>0</v>
      </c>
      <c r="X72" s="1128">
        <f t="shared" si="22"/>
        <v>18.367346938775519</v>
      </c>
      <c r="Y72" s="1128">
        <f t="shared" si="22"/>
        <v>0</v>
      </c>
      <c r="Z72" s="1128">
        <f t="shared" si="23"/>
        <v>4.0816326530612148</v>
      </c>
      <c r="AA72" s="1128">
        <f t="shared" si="23"/>
        <v>0</v>
      </c>
      <c r="AB72" s="1128">
        <f t="shared" si="24"/>
        <v>45.918367346938801</v>
      </c>
      <c r="AC72" s="1128">
        <f t="shared" si="24"/>
        <v>0</v>
      </c>
      <c r="AD72" s="1128">
        <f t="shared" si="25"/>
        <v>55.102040816326699</v>
      </c>
      <c r="AE72" s="1128">
        <f t="shared" si="25"/>
        <v>0</v>
      </c>
      <c r="AF72" s="1128">
        <f t="shared" si="26"/>
        <v>15.3061224489796</v>
      </c>
      <c r="AG72" s="1128">
        <f t="shared" si="26"/>
        <v>0</v>
      </c>
      <c r="AH72" s="1128">
        <f t="shared" si="27"/>
        <v>58.163265306122547</v>
      </c>
      <c r="AI72" s="1128">
        <f t="shared" si="27"/>
        <v>0</v>
      </c>
      <c r="AL72" s="1128">
        <v>7.3333333333333306E-2</v>
      </c>
      <c r="AM72" s="1128">
        <v>0</v>
      </c>
      <c r="AO72">
        <f t="shared" si="28"/>
        <v>25.666666666666657</v>
      </c>
      <c r="AP72">
        <f t="shared" si="28"/>
        <v>0</v>
      </c>
      <c r="AS72" s="309">
        <v>8.2857142857142893E-2</v>
      </c>
      <c r="AT72" s="309">
        <v>0</v>
      </c>
      <c r="AU72" s="309">
        <f t="shared" si="29"/>
        <v>-1.7142857142857112E-2</v>
      </c>
      <c r="AV72" s="1142">
        <f t="shared" si="29"/>
        <v>-0.1</v>
      </c>
      <c r="AX72">
        <f t="shared" si="30"/>
        <v>0</v>
      </c>
      <c r="AY72">
        <f t="shared" si="30"/>
        <v>0</v>
      </c>
      <c r="BA72" s="1128">
        <v>0</v>
      </c>
      <c r="BC72">
        <f t="shared" si="31"/>
        <v>0</v>
      </c>
      <c r="BF72">
        <v>0</v>
      </c>
      <c r="BG72" s="1128"/>
    </row>
    <row r="73" spans="1:59" x14ac:dyDescent="0.2">
      <c r="A73" s="197" t="s">
        <v>164</v>
      </c>
      <c r="B73" s="1126">
        <v>3526</v>
      </c>
      <c r="C73" s="1127">
        <v>83</v>
      </c>
      <c r="D73" s="1127">
        <v>0</v>
      </c>
      <c r="E73" s="1128">
        <v>0.40000000000000008</v>
      </c>
      <c r="F73" s="1128">
        <v>0</v>
      </c>
      <c r="G73" s="1128">
        <f t="shared" si="21"/>
        <v>33.20000000000001</v>
      </c>
      <c r="H73" s="1128">
        <f t="shared" si="21"/>
        <v>0</v>
      </c>
      <c r="K73" s="1128">
        <v>0</v>
      </c>
      <c r="L73" s="1128">
        <v>0</v>
      </c>
      <c r="M73" s="1128">
        <v>9.6385542168674704E-2</v>
      </c>
      <c r="N73" s="1128">
        <v>0</v>
      </c>
      <c r="O73" s="1128">
        <v>0.19277108433734899</v>
      </c>
      <c r="P73" s="1128">
        <v>0</v>
      </c>
      <c r="Q73" s="1128">
        <v>0.49397590361445798</v>
      </c>
      <c r="R73" s="1128">
        <v>0</v>
      </c>
      <c r="S73" s="1128">
        <v>0</v>
      </c>
      <c r="T73" s="1128">
        <v>0</v>
      </c>
      <c r="U73" s="1128">
        <v>0.20481927710843401</v>
      </c>
      <c r="V73" s="1128">
        <v>0</v>
      </c>
      <c r="X73" s="1128">
        <f t="shared" si="22"/>
        <v>0</v>
      </c>
      <c r="Y73" s="1128">
        <f t="shared" si="22"/>
        <v>0</v>
      </c>
      <c r="Z73" s="1128">
        <f t="shared" si="23"/>
        <v>8</v>
      </c>
      <c r="AA73" s="1128">
        <f t="shared" si="23"/>
        <v>0</v>
      </c>
      <c r="AB73" s="1128">
        <f t="shared" si="24"/>
        <v>15.999999999999966</v>
      </c>
      <c r="AC73" s="1128">
        <f t="shared" si="24"/>
        <v>0</v>
      </c>
      <c r="AD73" s="1128">
        <f t="shared" si="25"/>
        <v>41.000000000000014</v>
      </c>
      <c r="AE73" s="1128">
        <f t="shared" si="25"/>
        <v>0</v>
      </c>
      <c r="AF73" s="1128">
        <f t="shared" si="26"/>
        <v>0</v>
      </c>
      <c r="AG73" s="1128">
        <f t="shared" si="26"/>
        <v>0</v>
      </c>
      <c r="AH73" s="1128">
        <f t="shared" si="27"/>
        <v>17.000000000000021</v>
      </c>
      <c r="AI73" s="1128">
        <f t="shared" si="27"/>
        <v>0</v>
      </c>
      <c r="AL73" s="1128">
        <v>0.71428571428571397</v>
      </c>
      <c r="AM73" s="1128">
        <v>0</v>
      </c>
      <c r="AO73">
        <f t="shared" si="28"/>
        <v>59.285714285714256</v>
      </c>
      <c r="AP73">
        <f t="shared" si="28"/>
        <v>0</v>
      </c>
      <c r="AS73" s="309">
        <v>0.108433734939759</v>
      </c>
      <c r="AT73" s="309">
        <v>0</v>
      </c>
      <c r="AU73" s="309">
        <f t="shared" si="29"/>
        <v>8.4337349397589911E-3</v>
      </c>
      <c r="AV73" s="1142">
        <f t="shared" si="29"/>
        <v>-0.1</v>
      </c>
      <c r="AX73">
        <f t="shared" si="30"/>
        <v>0.69999999999999629</v>
      </c>
      <c r="AY73">
        <f t="shared" si="30"/>
        <v>0</v>
      </c>
      <c r="BA73" s="1128">
        <v>0</v>
      </c>
      <c r="BC73">
        <f t="shared" si="31"/>
        <v>0</v>
      </c>
      <c r="BF73">
        <v>0</v>
      </c>
      <c r="BG73" s="1128"/>
    </row>
    <row r="74" spans="1:59" x14ac:dyDescent="0.2">
      <c r="A74" s="197" t="s">
        <v>165</v>
      </c>
      <c r="B74" s="1126">
        <v>3535</v>
      </c>
      <c r="C74" s="1127">
        <v>302</v>
      </c>
      <c r="D74" s="1127">
        <v>0</v>
      </c>
      <c r="E74" s="1128">
        <v>0.47931034482758622</v>
      </c>
      <c r="F74" s="1128">
        <v>0</v>
      </c>
      <c r="G74" s="1128">
        <f t="shared" si="21"/>
        <v>144.75172413793103</v>
      </c>
      <c r="H74" s="1128">
        <f t="shared" si="21"/>
        <v>0</v>
      </c>
      <c r="K74" s="1128">
        <v>0</v>
      </c>
      <c r="L74" s="1128">
        <v>0</v>
      </c>
      <c r="M74" s="1128">
        <v>0.06</v>
      </c>
      <c r="N74" s="1128">
        <v>0</v>
      </c>
      <c r="O74" s="1128">
        <v>0.19</v>
      </c>
      <c r="P74" s="1128">
        <v>0</v>
      </c>
      <c r="Q74" s="1128">
        <v>0.56999999999999995</v>
      </c>
      <c r="R74" s="1128">
        <v>0</v>
      </c>
      <c r="S74" s="1128">
        <v>2.66666666666667E-2</v>
      </c>
      <c r="T74" s="1128">
        <v>0</v>
      </c>
      <c r="U74" s="1128">
        <v>0.10666666666666701</v>
      </c>
      <c r="V74" s="1128">
        <v>0</v>
      </c>
      <c r="X74" s="1128">
        <f t="shared" si="22"/>
        <v>0</v>
      </c>
      <c r="Y74" s="1128">
        <f t="shared" si="22"/>
        <v>0</v>
      </c>
      <c r="Z74" s="1128">
        <f t="shared" si="23"/>
        <v>18.12</v>
      </c>
      <c r="AA74" s="1128">
        <f t="shared" si="23"/>
        <v>0</v>
      </c>
      <c r="AB74" s="1128">
        <f t="shared" si="24"/>
        <v>57.38</v>
      </c>
      <c r="AC74" s="1128">
        <f t="shared" si="24"/>
        <v>0</v>
      </c>
      <c r="AD74" s="1128">
        <f t="shared" si="25"/>
        <v>172.14</v>
      </c>
      <c r="AE74" s="1128">
        <f t="shared" si="25"/>
        <v>0</v>
      </c>
      <c r="AF74" s="1128">
        <f t="shared" si="26"/>
        <v>8.0533333333333434</v>
      </c>
      <c r="AG74" s="1128">
        <f t="shared" si="26"/>
        <v>0</v>
      </c>
      <c r="AH74" s="1128">
        <f t="shared" si="27"/>
        <v>32.213333333333438</v>
      </c>
      <c r="AI74" s="1128">
        <f t="shared" si="27"/>
        <v>0</v>
      </c>
      <c r="AL74" s="1128">
        <v>0.28571428571428598</v>
      </c>
      <c r="AM74" s="1128">
        <v>0</v>
      </c>
      <c r="AO74">
        <f t="shared" si="28"/>
        <v>86.285714285714363</v>
      </c>
      <c r="AP74">
        <f t="shared" si="28"/>
        <v>0</v>
      </c>
      <c r="AS74" s="309">
        <v>7.2847682119205295E-2</v>
      </c>
      <c r="AT74" s="309">
        <v>0</v>
      </c>
      <c r="AU74" s="309">
        <f t="shared" si="29"/>
        <v>-2.715231788079471E-2</v>
      </c>
      <c r="AV74" s="1142">
        <f t="shared" si="29"/>
        <v>-0.1</v>
      </c>
      <c r="AX74">
        <f t="shared" si="30"/>
        <v>0</v>
      </c>
      <c r="AY74">
        <f t="shared" si="30"/>
        <v>0</v>
      </c>
      <c r="BA74" s="1128">
        <v>0</v>
      </c>
      <c r="BC74">
        <f t="shared" si="31"/>
        <v>0</v>
      </c>
      <c r="BF74">
        <v>0</v>
      </c>
      <c r="BG74" s="1128"/>
    </row>
    <row r="75" spans="1:59" x14ac:dyDescent="0.2">
      <c r="A75" s="1148" t="s">
        <v>107</v>
      </c>
      <c r="B75" s="1149">
        <v>2008</v>
      </c>
      <c r="C75" s="1127">
        <v>221</v>
      </c>
      <c r="D75" s="1127">
        <v>0</v>
      </c>
      <c r="E75" s="1128">
        <v>0.35159817351598166</v>
      </c>
      <c r="F75" s="1128">
        <v>0</v>
      </c>
      <c r="G75" s="1128">
        <f t="shared" si="21"/>
        <v>77.703196347031948</v>
      </c>
      <c r="H75" s="1128">
        <f t="shared" si="21"/>
        <v>0</v>
      </c>
      <c r="K75" s="1128">
        <v>7.3059360730593603E-2</v>
      </c>
      <c r="L75" s="1128">
        <v>0</v>
      </c>
      <c r="M75" s="1128">
        <v>9.5890410958904104E-2</v>
      </c>
      <c r="N75" s="1128">
        <v>0</v>
      </c>
      <c r="O75" s="1128">
        <v>0.13698630136986301</v>
      </c>
      <c r="P75" s="1128">
        <v>0</v>
      </c>
      <c r="Q75" s="1128">
        <v>0.26484018264840198</v>
      </c>
      <c r="R75" s="1128">
        <v>0</v>
      </c>
      <c r="S75" s="1128">
        <v>0.10958904109589</v>
      </c>
      <c r="T75" s="1128">
        <v>0</v>
      </c>
      <c r="U75" s="1128">
        <v>4.1095890410958902E-2</v>
      </c>
      <c r="V75" s="1128">
        <v>0</v>
      </c>
      <c r="X75" s="1128">
        <f t="shared" si="22"/>
        <v>16.146118721461185</v>
      </c>
      <c r="Y75" s="1128">
        <f t="shared" si="22"/>
        <v>0</v>
      </c>
      <c r="Z75" s="1128">
        <f t="shared" si="23"/>
        <v>21.191780821917806</v>
      </c>
      <c r="AA75" s="1128">
        <f t="shared" si="23"/>
        <v>0</v>
      </c>
      <c r="AB75" s="1128">
        <f t="shared" si="24"/>
        <v>30.273972602739725</v>
      </c>
      <c r="AC75" s="1128">
        <f t="shared" si="24"/>
        <v>0</v>
      </c>
      <c r="AD75" s="1128">
        <f t="shared" si="25"/>
        <v>58.529680365296841</v>
      </c>
      <c r="AE75" s="1128">
        <f t="shared" si="25"/>
        <v>0</v>
      </c>
      <c r="AF75" s="1128">
        <f t="shared" si="26"/>
        <v>24.219178082191689</v>
      </c>
      <c r="AG75" s="1128">
        <f t="shared" si="26"/>
        <v>0</v>
      </c>
      <c r="AH75" s="1128">
        <f t="shared" si="27"/>
        <v>9.0821917808219172</v>
      </c>
      <c r="AI75" s="1128">
        <f t="shared" si="27"/>
        <v>0</v>
      </c>
      <c r="AL75" s="1128">
        <v>5.2356020942408397E-2</v>
      </c>
      <c r="AM75" s="1128">
        <v>0</v>
      </c>
      <c r="AO75">
        <f t="shared" si="28"/>
        <v>11.570680628272255</v>
      </c>
      <c r="AP75">
        <f t="shared" si="28"/>
        <v>0</v>
      </c>
      <c r="AS75" s="309">
        <v>2.7149321266968299E-2</v>
      </c>
      <c r="AT75" s="309">
        <v>0</v>
      </c>
      <c r="AU75" s="309">
        <f t="shared" si="29"/>
        <v>-7.2850678733031707E-2</v>
      </c>
      <c r="AV75" s="1142">
        <f t="shared" si="29"/>
        <v>-0.1</v>
      </c>
      <c r="AX75">
        <f t="shared" si="30"/>
        <v>0</v>
      </c>
      <c r="AY75">
        <f t="shared" si="30"/>
        <v>0</v>
      </c>
      <c r="BA75" s="1128">
        <v>0</v>
      </c>
      <c r="BC75">
        <f t="shared" si="31"/>
        <v>0</v>
      </c>
      <c r="BF75">
        <v>0</v>
      </c>
      <c r="BG75" s="1128"/>
    </row>
    <row r="76" spans="1:59" x14ac:dyDescent="0.2">
      <c r="A76" s="197" t="s">
        <v>166</v>
      </c>
      <c r="B76" s="1126">
        <v>3542</v>
      </c>
      <c r="C76" s="1127">
        <v>359</v>
      </c>
      <c r="D76" s="1127">
        <v>0</v>
      </c>
      <c r="E76" s="1128">
        <v>0.18413597733711051</v>
      </c>
      <c r="F76" s="1128">
        <v>0</v>
      </c>
      <c r="G76" s="1128">
        <f t="shared" si="21"/>
        <v>66.104815864022669</v>
      </c>
      <c r="H76" s="1128">
        <f t="shared" si="21"/>
        <v>0</v>
      </c>
      <c r="K76" s="1128">
        <v>3.8997214484679701E-2</v>
      </c>
      <c r="L76" s="1128">
        <v>0</v>
      </c>
      <c r="M76" s="1128">
        <v>0.217270194986072</v>
      </c>
      <c r="N76" s="1128">
        <v>0</v>
      </c>
      <c r="O76" s="1128">
        <v>0.20055710306406699</v>
      </c>
      <c r="P76" s="1128">
        <v>0</v>
      </c>
      <c r="Q76" s="1128">
        <v>0.13927576601671299</v>
      </c>
      <c r="R76" s="1128">
        <v>0</v>
      </c>
      <c r="S76" s="1128">
        <v>7.7994428969359306E-2</v>
      </c>
      <c r="T76" s="1128">
        <v>0</v>
      </c>
      <c r="U76" s="1128">
        <v>5.5710306406685201E-2</v>
      </c>
      <c r="V76" s="1128">
        <v>0</v>
      </c>
      <c r="X76" s="1128">
        <f t="shared" si="22"/>
        <v>14.000000000000012</v>
      </c>
      <c r="Y76" s="1128">
        <f t="shared" si="22"/>
        <v>0</v>
      </c>
      <c r="Z76" s="1128">
        <f t="shared" si="23"/>
        <v>77.999999999999844</v>
      </c>
      <c r="AA76" s="1128">
        <f t="shared" si="23"/>
        <v>0</v>
      </c>
      <c r="AB76" s="1128">
        <f t="shared" si="24"/>
        <v>72.000000000000043</v>
      </c>
      <c r="AC76" s="1128">
        <f t="shared" si="24"/>
        <v>0</v>
      </c>
      <c r="AD76" s="1128">
        <f t="shared" si="25"/>
        <v>49.999999999999964</v>
      </c>
      <c r="AE76" s="1128">
        <f t="shared" si="25"/>
        <v>0</v>
      </c>
      <c r="AF76" s="1128">
        <f t="shared" si="26"/>
        <v>27.999999999999989</v>
      </c>
      <c r="AG76" s="1128">
        <f t="shared" si="26"/>
        <v>0</v>
      </c>
      <c r="AH76" s="1128">
        <f t="shared" si="27"/>
        <v>19.999999999999986</v>
      </c>
      <c r="AI76" s="1128">
        <f t="shared" si="27"/>
        <v>0</v>
      </c>
      <c r="AL76" s="1128">
        <v>0.25490196078431399</v>
      </c>
      <c r="AM76" s="1128">
        <v>0</v>
      </c>
      <c r="AO76">
        <f t="shared" si="28"/>
        <v>91.509803921568718</v>
      </c>
      <c r="AP76">
        <f t="shared" si="28"/>
        <v>0</v>
      </c>
      <c r="AS76" s="309">
        <v>5.2924791086351002E-2</v>
      </c>
      <c r="AT76" s="309">
        <v>0</v>
      </c>
      <c r="AU76" s="309">
        <f t="shared" si="29"/>
        <v>-4.7075208913649004E-2</v>
      </c>
      <c r="AV76" s="1142">
        <f t="shared" si="29"/>
        <v>-0.1</v>
      </c>
      <c r="AX76">
        <f t="shared" si="30"/>
        <v>0</v>
      </c>
      <c r="AY76">
        <f t="shared" si="30"/>
        <v>0</v>
      </c>
      <c r="BA76" s="1128">
        <v>8.4985835694051E-3</v>
      </c>
      <c r="BC76">
        <f t="shared" si="31"/>
        <v>3.0509915014164308</v>
      </c>
      <c r="BF76">
        <v>0</v>
      </c>
      <c r="BG76" s="1128"/>
    </row>
    <row r="77" spans="1:59" x14ac:dyDescent="0.2">
      <c r="A77" s="197" t="s">
        <v>167</v>
      </c>
      <c r="B77" s="1126">
        <v>3528</v>
      </c>
      <c r="C77" s="1127">
        <v>352</v>
      </c>
      <c r="D77" s="1127">
        <v>0</v>
      </c>
      <c r="E77" s="1128">
        <v>0.21828908554572271</v>
      </c>
      <c r="F77" s="1128">
        <v>0</v>
      </c>
      <c r="G77" s="1128">
        <f t="shared" si="21"/>
        <v>76.837758112094392</v>
      </c>
      <c r="H77" s="1128">
        <f t="shared" si="21"/>
        <v>0</v>
      </c>
      <c r="K77" s="1128">
        <v>5.4441260744985703E-2</v>
      </c>
      <c r="L77" s="1128">
        <v>0</v>
      </c>
      <c r="M77" s="1128">
        <v>0.13753581661891101</v>
      </c>
      <c r="N77" s="1128">
        <v>0</v>
      </c>
      <c r="O77" s="1128">
        <v>0.263610315186246</v>
      </c>
      <c r="P77" s="1128">
        <v>0</v>
      </c>
      <c r="Q77" s="1128">
        <v>8.0229226361031497E-2</v>
      </c>
      <c r="R77" s="1128">
        <v>0</v>
      </c>
      <c r="S77" s="1128">
        <v>6.5902578796561598E-2</v>
      </c>
      <c r="T77" s="1128">
        <v>0</v>
      </c>
      <c r="U77" s="1128">
        <v>5.4441260744985703E-2</v>
      </c>
      <c r="V77" s="1128">
        <v>0</v>
      </c>
      <c r="X77" s="1128">
        <f t="shared" si="22"/>
        <v>19.163323782234968</v>
      </c>
      <c r="Y77" s="1128">
        <f t="shared" si="22"/>
        <v>0</v>
      </c>
      <c r="Z77" s="1128">
        <f t="shared" si="23"/>
        <v>48.412607449856679</v>
      </c>
      <c r="AA77" s="1128">
        <f t="shared" si="23"/>
        <v>0</v>
      </c>
      <c r="AB77" s="1128">
        <f t="shared" si="24"/>
        <v>92.790830945558596</v>
      </c>
      <c r="AC77" s="1128">
        <f t="shared" si="24"/>
        <v>0</v>
      </c>
      <c r="AD77" s="1128">
        <f t="shared" si="25"/>
        <v>28.240687679083088</v>
      </c>
      <c r="AE77" s="1128">
        <f t="shared" si="25"/>
        <v>0</v>
      </c>
      <c r="AF77" s="1128">
        <f t="shared" si="26"/>
        <v>23.197707736389681</v>
      </c>
      <c r="AG77" s="1128">
        <f t="shared" si="26"/>
        <v>0</v>
      </c>
      <c r="AH77" s="1128">
        <f t="shared" si="27"/>
        <v>19.163323782234968</v>
      </c>
      <c r="AI77" s="1128">
        <f t="shared" si="27"/>
        <v>0</v>
      </c>
      <c r="AL77" s="1128">
        <v>0.15699658703071701</v>
      </c>
      <c r="AM77" s="1128">
        <v>0</v>
      </c>
      <c r="AO77">
        <f t="shared" si="28"/>
        <v>55.262798634812384</v>
      </c>
      <c r="AP77">
        <f t="shared" si="28"/>
        <v>0</v>
      </c>
      <c r="AS77" s="309">
        <v>0.125</v>
      </c>
      <c r="AT77" s="309">
        <v>0</v>
      </c>
      <c r="AU77" s="309">
        <f t="shared" si="29"/>
        <v>2.4999999999999994E-2</v>
      </c>
      <c r="AV77" s="1142">
        <f t="shared" si="29"/>
        <v>-0.1</v>
      </c>
      <c r="AX77">
        <f t="shared" si="30"/>
        <v>8.7999999999999972</v>
      </c>
      <c r="AY77">
        <f t="shared" si="30"/>
        <v>0</v>
      </c>
      <c r="BA77" s="1128">
        <v>2.9498525073746312E-3</v>
      </c>
      <c r="BC77">
        <f t="shared" si="31"/>
        <v>1.0383480825958702</v>
      </c>
      <c r="BF77">
        <v>0</v>
      </c>
      <c r="BG77" s="1128"/>
    </row>
    <row r="78" spans="1:59" x14ac:dyDescent="0.2">
      <c r="A78" s="197" t="s">
        <v>168</v>
      </c>
      <c r="B78" s="1126">
        <v>3534</v>
      </c>
      <c r="C78" s="1127">
        <v>239</v>
      </c>
      <c r="D78" s="1127">
        <v>0</v>
      </c>
      <c r="E78" s="1128">
        <v>0.19665271966527198</v>
      </c>
      <c r="F78" s="1128">
        <v>0</v>
      </c>
      <c r="G78" s="1128">
        <f t="shared" si="21"/>
        <v>47</v>
      </c>
      <c r="H78" s="1128">
        <f t="shared" si="21"/>
        <v>0</v>
      </c>
      <c r="K78" s="1128">
        <v>2.9535864978902999E-2</v>
      </c>
      <c r="L78" s="1128">
        <v>0</v>
      </c>
      <c r="M78" s="1128">
        <v>5.0632911392405097E-2</v>
      </c>
      <c r="N78" s="1128">
        <v>0</v>
      </c>
      <c r="O78" s="1128">
        <v>7.5949367088607597E-2</v>
      </c>
      <c r="P78" s="1128">
        <v>0</v>
      </c>
      <c r="Q78" s="1128">
        <v>4.6413502109704602E-2</v>
      </c>
      <c r="R78" s="1128">
        <v>0</v>
      </c>
      <c r="S78" s="1128">
        <v>4.2194092827004199E-3</v>
      </c>
      <c r="T78" s="1128">
        <v>0</v>
      </c>
      <c r="U78" s="1128">
        <v>8.4388185654008397E-3</v>
      </c>
      <c r="V78" s="1128">
        <v>0</v>
      </c>
      <c r="X78" s="1128">
        <f t="shared" si="22"/>
        <v>7.0590717299578163</v>
      </c>
      <c r="Y78" s="1128">
        <f t="shared" si="22"/>
        <v>0</v>
      </c>
      <c r="Z78" s="1128">
        <f t="shared" si="23"/>
        <v>12.101265822784818</v>
      </c>
      <c r="AA78" s="1128">
        <f t="shared" si="23"/>
        <v>0</v>
      </c>
      <c r="AB78" s="1128">
        <f t="shared" si="24"/>
        <v>18.151898734177216</v>
      </c>
      <c r="AC78" s="1128">
        <f t="shared" si="24"/>
        <v>0</v>
      </c>
      <c r="AD78" s="1128">
        <f t="shared" si="25"/>
        <v>11.0928270042194</v>
      </c>
      <c r="AE78" s="1128">
        <f t="shared" si="25"/>
        <v>0</v>
      </c>
      <c r="AF78" s="1128">
        <f t="shared" si="26"/>
        <v>1.0084388185654003</v>
      </c>
      <c r="AG78" s="1128">
        <f t="shared" si="26"/>
        <v>0</v>
      </c>
      <c r="AH78" s="1128">
        <f t="shared" si="27"/>
        <v>2.0168776371308006</v>
      </c>
      <c r="AI78" s="1128">
        <f t="shared" si="27"/>
        <v>0</v>
      </c>
      <c r="AL78" s="1128">
        <v>0.121338912133891</v>
      </c>
      <c r="AM78" s="1128">
        <v>0</v>
      </c>
      <c r="AO78">
        <f t="shared" si="28"/>
        <v>28.99999999999995</v>
      </c>
      <c r="AP78">
        <f t="shared" si="28"/>
        <v>0</v>
      </c>
      <c r="AS78" s="309">
        <v>2.5104602510460299E-2</v>
      </c>
      <c r="AT78" s="309">
        <v>0</v>
      </c>
      <c r="AU78" s="309">
        <f t="shared" si="29"/>
        <v>-7.4895397489539703E-2</v>
      </c>
      <c r="AV78" s="1142">
        <f t="shared" si="29"/>
        <v>-0.1</v>
      </c>
      <c r="AX78">
        <f t="shared" si="30"/>
        <v>0</v>
      </c>
      <c r="AY78">
        <f t="shared" si="30"/>
        <v>0</v>
      </c>
      <c r="BA78" s="1128">
        <v>8.368200836820083E-3</v>
      </c>
      <c r="BC78">
        <f t="shared" si="31"/>
        <v>1.9999999999999998</v>
      </c>
      <c r="BF78">
        <v>0</v>
      </c>
      <c r="BG78" s="1128"/>
    </row>
    <row r="79" spans="1:59" x14ac:dyDescent="0.2">
      <c r="A79" s="197" t="s">
        <v>169</v>
      </c>
      <c r="B79" s="1126">
        <v>3532</v>
      </c>
      <c r="C79" s="1127">
        <v>303</v>
      </c>
      <c r="D79" s="1127">
        <v>0</v>
      </c>
      <c r="E79" s="1128">
        <v>0.1118421052631579</v>
      </c>
      <c r="F79" s="1128">
        <v>0</v>
      </c>
      <c r="G79" s="1128">
        <f t="shared" si="21"/>
        <v>33.888157894736842</v>
      </c>
      <c r="H79" s="1128">
        <f t="shared" si="21"/>
        <v>0</v>
      </c>
      <c r="K79" s="1128">
        <v>0.18333333333333299</v>
      </c>
      <c r="L79" s="1128">
        <v>0</v>
      </c>
      <c r="M79" s="1128">
        <v>0.06</v>
      </c>
      <c r="N79" s="1128">
        <v>0</v>
      </c>
      <c r="O79" s="1128">
        <v>1.3333333333333299E-2</v>
      </c>
      <c r="P79" s="1128">
        <v>0</v>
      </c>
      <c r="Q79" s="1128">
        <v>2.33333333333333E-2</v>
      </c>
      <c r="R79" s="1128">
        <v>0</v>
      </c>
      <c r="S79" s="1128">
        <v>1.6666666666666701E-2</v>
      </c>
      <c r="T79" s="1128">
        <v>0</v>
      </c>
      <c r="U79" s="1128">
        <v>0</v>
      </c>
      <c r="V79" s="1128">
        <v>0</v>
      </c>
      <c r="X79" s="1128">
        <f t="shared" si="22"/>
        <v>55.549999999999898</v>
      </c>
      <c r="Y79" s="1128">
        <f t="shared" si="22"/>
        <v>0</v>
      </c>
      <c r="Z79" s="1128">
        <f t="shared" si="23"/>
        <v>18.18</v>
      </c>
      <c r="AA79" s="1128">
        <f t="shared" si="23"/>
        <v>0</v>
      </c>
      <c r="AB79" s="1128">
        <f t="shared" si="24"/>
        <v>4.0399999999999894</v>
      </c>
      <c r="AC79" s="1128">
        <f t="shared" si="24"/>
        <v>0</v>
      </c>
      <c r="AD79" s="1128">
        <f t="shared" si="25"/>
        <v>7.0699999999999896</v>
      </c>
      <c r="AE79" s="1128">
        <f t="shared" si="25"/>
        <v>0</v>
      </c>
      <c r="AF79" s="1128">
        <f t="shared" si="26"/>
        <v>5.0500000000000105</v>
      </c>
      <c r="AG79" s="1128">
        <f t="shared" si="26"/>
        <v>0</v>
      </c>
      <c r="AH79" s="1128">
        <f t="shared" si="27"/>
        <v>0</v>
      </c>
      <c r="AI79" s="1128">
        <f t="shared" si="27"/>
        <v>0</v>
      </c>
      <c r="AL79" s="1128">
        <v>0</v>
      </c>
      <c r="AM79" s="1128">
        <v>0</v>
      </c>
      <c r="AO79">
        <f t="shared" si="28"/>
        <v>0</v>
      </c>
      <c r="AP79">
        <f t="shared" si="28"/>
        <v>0</v>
      </c>
      <c r="AS79" s="309">
        <v>1.9801980198019799E-2</v>
      </c>
      <c r="AT79" s="309">
        <v>0</v>
      </c>
      <c r="AU79" s="309">
        <f t="shared" si="29"/>
        <v>-8.0198019801980214E-2</v>
      </c>
      <c r="AV79" s="1142">
        <f t="shared" si="29"/>
        <v>-0.1</v>
      </c>
      <c r="AX79">
        <f t="shared" si="30"/>
        <v>0</v>
      </c>
      <c r="AY79">
        <f t="shared" si="30"/>
        <v>0</v>
      </c>
      <c r="BA79" s="1128">
        <v>0</v>
      </c>
      <c r="BC79">
        <f t="shared" si="31"/>
        <v>0</v>
      </c>
      <c r="BF79">
        <v>0</v>
      </c>
      <c r="BG79" s="1128"/>
    </row>
    <row r="80" spans="1:59" x14ac:dyDescent="0.2">
      <c r="A80" s="197" t="s">
        <v>175</v>
      </c>
      <c r="B80" s="1126">
        <v>4177</v>
      </c>
      <c r="C80" s="1127">
        <v>43.75</v>
      </c>
      <c r="D80" s="1127">
        <v>568</v>
      </c>
      <c r="E80" s="1128">
        <v>0</v>
      </c>
      <c r="F80" s="1128">
        <v>0.5398373983739837</v>
      </c>
      <c r="G80" s="1128">
        <f t="shared" si="21"/>
        <v>0</v>
      </c>
      <c r="H80" s="1128">
        <f t="shared" si="21"/>
        <v>306.62764227642276</v>
      </c>
      <c r="K80" s="1128">
        <v>0</v>
      </c>
      <c r="L80" s="1128">
        <v>1.6366612111293002E-2</v>
      </c>
      <c r="M80" s="1128">
        <v>0</v>
      </c>
      <c r="N80" s="1128">
        <v>0.19312602291325701</v>
      </c>
      <c r="O80" s="1128">
        <v>0</v>
      </c>
      <c r="P80" s="1128">
        <v>0.27823240589198001</v>
      </c>
      <c r="Q80" s="1128">
        <v>0</v>
      </c>
      <c r="R80" s="1128">
        <v>0.27004909983633402</v>
      </c>
      <c r="S80" s="1128">
        <v>0</v>
      </c>
      <c r="T80" s="1128">
        <v>9.9836333878887101E-2</v>
      </c>
      <c r="U80" s="1128">
        <v>0</v>
      </c>
      <c r="V80" s="1128">
        <v>8.1833060556464804E-2</v>
      </c>
      <c r="X80" s="1128">
        <f t="shared" si="22"/>
        <v>0</v>
      </c>
      <c r="Y80" s="1128">
        <f t="shared" si="22"/>
        <v>9.2962356792144245</v>
      </c>
      <c r="Z80" s="1128">
        <f t="shared" si="23"/>
        <v>0</v>
      </c>
      <c r="AA80" s="1128">
        <f t="shared" si="23"/>
        <v>109.69558101472998</v>
      </c>
      <c r="AB80" s="1128">
        <f t="shared" si="24"/>
        <v>0</v>
      </c>
      <c r="AC80" s="1128">
        <f t="shared" si="24"/>
        <v>158.03600654664464</v>
      </c>
      <c r="AD80" s="1128">
        <f t="shared" si="25"/>
        <v>0</v>
      </c>
      <c r="AE80" s="1128">
        <f t="shared" si="25"/>
        <v>153.38788870703772</v>
      </c>
      <c r="AF80" s="1128">
        <f t="shared" si="26"/>
        <v>0</v>
      </c>
      <c r="AG80" s="1128">
        <f t="shared" si="26"/>
        <v>56.707037643207876</v>
      </c>
      <c r="AH80" s="1128">
        <f t="shared" si="27"/>
        <v>0</v>
      </c>
      <c r="AI80" s="1128">
        <f t="shared" si="27"/>
        <v>46.481178396072011</v>
      </c>
      <c r="AL80" s="1128">
        <v>0</v>
      </c>
      <c r="AM80" s="1128">
        <v>0.220228384991843</v>
      </c>
      <c r="AO80">
        <f t="shared" si="28"/>
        <v>0</v>
      </c>
      <c r="AP80">
        <f t="shared" si="28"/>
        <v>125.08972267536681</v>
      </c>
      <c r="AS80" s="309">
        <v>0</v>
      </c>
      <c r="AT80" s="309">
        <v>0.19086460032626401</v>
      </c>
      <c r="AU80" s="309">
        <f t="shared" si="29"/>
        <v>-0.1</v>
      </c>
      <c r="AV80" s="1142">
        <f t="shared" si="29"/>
        <v>9.0864600326264006E-2</v>
      </c>
      <c r="AX80">
        <f t="shared" si="30"/>
        <v>0</v>
      </c>
      <c r="AY80">
        <f t="shared" si="30"/>
        <v>51.611092985317953</v>
      </c>
      <c r="BA80" s="1128">
        <v>1.1382113821138212E-2</v>
      </c>
      <c r="BC80">
        <f>BA80*(D80+C80)</f>
        <v>6.9630081300813016</v>
      </c>
      <c r="BF80">
        <v>0.57046979865771796</v>
      </c>
      <c r="BG80" s="1128">
        <f>BF80*D80</f>
        <v>324.02684563758379</v>
      </c>
    </row>
    <row r="81" spans="1:60" x14ac:dyDescent="0.2">
      <c r="A81" s="197" t="s">
        <v>112</v>
      </c>
      <c r="B81" s="1126">
        <v>3546</v>
      </c>
      <c r="C81" s="1127">
        <v>533</v>
      </c>
      <c r="D81" s="1127">
        <v>0</v>
      </c>
      <c r="E81" s="1128">
        <v>0.43086172344689372</v>
      </c>
      <c r="F81" s="1128">
        <v>0</v>
      </c>
      <c r="G81" s="1128">
        <f t="shared" si="21"/>
        <v>229.64929859719436</v>
      </c>
      <c r="H81" s="1128">
        <f t="shared" si="21"/>
        <v>0</v>
      </c>
      <c r="K81" s="1128">
        <v>9.3808630393996201E-2</v>
      </c>
      <c r="L81" s="1128">
        <v>0</v>
      </c>
      <c r="M81" s="1128">
        <v>0</v>
      </c>
      <c r="N81" s="1128">
        <v>0</v>
      </c>
      <c r="O81" s="1128">
        <v>0.105065666041276</v>
      </c>
      <c r="P81" s="1128">
        <v>0</v>
      </c>
      <c r="Q81" s="1128">
        <v>0.311444652908068</v>
      </c>
      <c r="R81" s="1128">
        <v>0</v>
      </c>
      <c r="S81" s="1128">
        <v>1.50093808630394E-2</v>
      </c>
      <c r="T81" s="1128">
        <v>0</v>
      </c>
      <c r="U81" s="1128">
        <v>0.39962476547842402</v>
      </c>
      <c r="V81" s="1128">
        <v>0</v>
      </c>
      <c r="X81" s="1128">
        <f t="shared" si="22"/>
        <v>49.999999999999972</v>
      </c>
      <c r="Y81" s="1128">
        <f t="shared" si="22"/>
        <v>0</v>
      </c>
      <c r="Z81" s="1128">
        <f t="shared" si="23"/>
        <v>0</v>
      </c>
      <c r="AA81" s="1128">
        <f t="shared" si="23"/>
        <v>0</v>
      </c>
      <c r="AB81" s="1128">
        <f t="shared" si="24"/>
        <v>56.000000000000107</v>
      </c>
      <c r="AC81" s="1128">
        <f t="shared" si="24"/>
        <v>0</v>
      </c>
      <c r="AD81" s="1128">
        <f t="shared" si="25"/>
        <v>166.00000000000026</v>
      </c>
      <c r="AE81" s="1128">
        <f t="shared" si="25"/>
        <v>0</v>
      </c>
      <c r="AF81" s="1128">
        <f t="shared" si="26"/>
        <v>8</v>
      </c>
      <c r="AG81" s="1128">
        <f t="shared" si="26"/>
        <v>0</v>
      </c>
      <c r="AH81" s="1128">
        <f t="shared" si="27"/>
        <v>213</v>
      </c>
      <c r="AI81" s="1128">
        <f t="shared" si="27"/>
        <v>0</v>
      </c>
      <c r="AL81" s="1128">
        <v>0.234762979683973</v>
      </c>
      <c r="AM81" s="1128">
        <v>0</v>
      </c>
      <c r="AO81">
        <f t="shared" si="28"/>
        <v>125.12866817155761</v>
      </c>
      <c r="AP81">
        <f t="shared" si="28"/>
        <v>0</v>
      </c>
      <c r="AS81" s="309">
        <v>0.114446529080675</v>
      </c>
      <c r="AT81" s="309">
        <v>0</v>
      </c>
      <c r="AU81" s="309">
        <f t="shared" si="29"/>
        <v>1.4446529080674994E-2</v>
      </c>
      <c r="AV81" s="1142">
        <f t="shared" si="29"/>
        <v>-0.1</v>
      </c>
      <c r="AX81">
        <f t="shared" si="30"/>
        <v>7.6999999999997719</v>
      </c>
      <c r="AY81">
        <f t="shared" si="30"/>
        <v>0</v>
      </c>
      <c r="BA81" s="1128">
        <v>4.0080160320641279E-3</v>
      </c>
      <c r="BC81">
        <f>BA81*C81</f>
        <v>2.1362725450901801</v>
      </c>
      <c r="BF81">
        <v>0</v>
      </c>
      <c r="BG81" s="1128"/>
    </row>
    <row r="82" spans="1:60" x14ac:dyDescent="0.2">
      <c r="A82" s="197" t="s">
        <v>170</v>
      </c>
      <c r="B82" s="1126">
        <v>3530</v>
      </c>
      <c r="C82" s="1127">
        <v>311</v>
      </c>
      <c r="D82" s="1127">
        <v>0</v>
      </c>
      <c r="E82" s="1128">
        <v>5.3156146179401988E-2</v>
      </c>
      <c r="F82" s="1128">
        <v>0</v>
      </c>
      <c r="G82" s="1128">
        <f t="shared" si="21"/>
        <v>16.53156146179402</v>
      </c>
      <c r="H82" s="1128">
        <f t="shared" si="21"/>
        <v>0</v>
      </c>
      <c r="K82" s="1128">
        <v>3.2258064516129002E-3</v>
      </c>
      <c r="L82" s="1128">
        <v>0</v>
      </c>
      <c r="M82" s="1128">
        <v>4.8387096774193498E-2</v>
      </c>
      <c r="N82" s="1128">
        <v>0</v>
      </c>
      <c r="O82" s="1128">
        <v>1.6129032258064498E-2</v>
      </c>
      <c r="P82" s="1128">
        <v>0</v>
      </c>
      <c r="Q82" s="1128">
        <v>0</v>
      </c>
      <c r="R82" s="1128">
        <v>0</v>
      </c>
      <c r="S82" s="1128">
        <v>3.2258064516129002E-3</v>
      </c>
      <c r="T82" s="1128">
        <v>0</v>
      </c>
      <c r="U82" s="1128">
        <v>0</v>
      </c>
      <c r="V82" s="1128">
        <v>0</v>
      </c>
      <c r="X82" s="1128">
        <f t="shared" si="22"/>
        <v>1.003225806451612</v>
      </c>
      <c r="Y82" s="1128">
        <f t="shared" si="22"/>
        <v>0</v>
      </c>
      <c r="Z82" s="1128">
        <f t="shared" si="23"/>
        <v>15.048387096774178</v>
      </c>
      <c r="AA82" s="1128">
        <f t="shared" si="23"/>
        <v>0</v>
      </c>
      <c r="AB82" s="1128">
        <f t="shared" si="24"/>
        <v>5.0161290322580587</v>
      </c>
      <c r="AC82" s="1128">
        <f t="shared" si="24"/>
        <v>0</v>
      </c>
      <c r="AD82" s="1128">
        <f t="shared" si="25"/>
        <v>0</v>
      </c>
      <c r="AE82" s="1128">
        <f t="shared" si="25"/>
        <v>0</v>
      </c>
      <c r="AF82" s="1128">
        <f t="shared" si="26"/>
        <v>1.003225806451612</v>
      </c>
      <c r="AG82" s="1128">
        <f t="shared" si="26"/>
        <v>0</v>
      </c>
      <c r="AH82" s="1128">
        <f t="shared" si="27"/>
        <v>0</v>
      </c>
      <c r="AI82" s="1128">
        <f t="shared" si="27"/>
        <v>0</v>
      </c>
      <c r="AL82" s="1128">
        <v>2.27272727272727E-2</v>
      </c>
      <c r="AM82" s="1128">
        <v>0</v>
      </c>
      <c r="AO82">
        <f t="shared" si="28"/>
        <v>7.0681818181818095</v>
      </c>
      <c r="AP82">
        <f t="shared" si="28"/>
        <v>0</v>
      </c>
      <c r="AS82" s="309">
        <v>3.8585209003215402E-2</v>
      </c>
      <c r="AT82" s="309">
        <v>0</v>
      </c>
      <c r="AU82" s="309">
        <f t="shared" si="29"/>
        <v>-6.1414790996784603E-2</v>
      </c>
      <c r="AV82" s="1142">
        <f t="shared" si="29"/>
        <v>-0.1</v>
      </c>
      <c r="AX82">
        <f t="shared" si="30"/>
        <v>0</v>
      </c>
      <c r="AY82">
        <f t="shared" si="30"/>
        <v>0</v>
      </c>
      <c r="BA82" s="1128">
        <v>6.6445182724252493E-3</v>
      </c>
      <c r="BC82">
        <f>BA82*C82</f>
        <v>2.0664451827242525</v>
      </c>
      <c r="BF82">
        <v>0</v>
      </c>
      <c r="BG82" s="1128"/>
    </row>
    <row r="83" spans="1:60" x14ac:dyDescent="0.2">
      <c r="A83" s="1145" t="s">
        <v>126</v>
      </c>
      <c r="B83" s="1146">
        <v>5412</v>
      </c>
      <c r="C83" s="1127">
        <v>0</v>
      </c>
      <c r="D83" s="1127">
        <v>1243</v>
      </c>
      <c r="E83" s="1128">
        <v>0</v>
      </c>
      <c r="F83" s="1128">
        <v>0.2335143522110163</v>
      </c>
      <c r="G83" s="1128">
        <f t="shared" si="21"/>
        <v>0</v>
      </c>
      <c r="H83" s="1128">
        <f t="shared" si="21"/>
        <v>290.25833979829326</v>
      </c>
      <c r="K83" s="1128">
        <v>0</v>
      </c>
      <c r="L83" s="1128">
        <v>0.164383561643836</v>
      </c>
      <c r="M83" s="1128">
        <v>0</v>
      </c>
      <c r="N83" s="1128">
        <v>0.17485898468976599</v>
      </c>
      <c r="O83" s="1128">
        <v>0</v>
      </c>
      <c r="P83" s="1128">
        <v>8.7832393231265099E-2</v>
      </c>
      <c r="Q83" s="1128">
        <v>0</v>
      </c>
      <c r="R83" s="1128">
        <v>1.53102336825141E-2</v>
      </c>
      <c r="S83" s="1128">
        <v>0</v>
      </c>
      <c r="T83" s="1128">
        <v>2.0145044319097499E-2</v>
      </c>
      <c r="U83" s="1128">
        <v>0</v>
      </c>
      <c r="V83" s="1128">
        <v>5.6406124093472997E-3</v>
      </c>
      <c r="X83" s="1128">
        <f t="shared" si="22"/>
        <v>0</v>
      </c>
      <c r="Y83" s="1128">
        <f t="shared" si="22"/>
        <v>204.32876712328815</v>
      </c>
      <c r="Z83" s="1128">
        <f t="shared" si="23"/>
        <v>0</v>
      </c>
      <c r="AA83" s="1128">
        <f t="shared" si="23"/>
        <v>217.34971796937913</v>
      </c>
      <c r="AB83" s="1128">
        <f t="shared" si="24"/>
        <v>0</v>
      </c>
      <c r="AC83" s="1128">
        <f t="shared" si="24"/>
        <v>109.17566478646252</v>
      </c>
      <c r="AD83" s="1128">
        <f t="shared" si="25"/>
        <v>0</v>
      </c>
      <c r="AE83" s="1128">
        <f t="shared" si="25"/>
        <v>19.030620467365026</v>
      </c>
      <c r="AF83" s="1128">
        <f t="shared" si="26"/>
        <v>0</v>
      </c>
      <c r="AG83" s="1128">
        <f t="shared" si="26"/>
        <v>25.040290088638191</v>
      </c>
      <c r="AH83" s="1128">
        <f t="shared" si="27"/>
        <v>0</v>
      </c>
      <c r="AI83" s="1128">
        <f t="shared" si="27"/>
        <v>7.0112812248186938</v>
      </c>
      <c r="AL83" s="1128">
        <v>0</v>
      </c>
      <c r="AM83" s="1128">
        <v>8.0580177276390001E-3</v>
      </c>
      <c r="AO83">
        <f t="shared" si="28"/>
        <v>0</v>
      </c>
      <c r="AP83">
        <f t="shared" si="28"/>
        <v>10.016116035455276</v>
      </c>
      <c r="AS83" s="309">
        <v>0</v>
      </c>
      <c r="AT83" s="309">
        <v>2.2526146419951699E-2</v>
      </c>
      <c r="AU83" s="309">
        <f t="shared" si="29"/>
        <v>-0.1</v>
      </c>
      <c r="AV83" s="1142">
        <f t="shared" si="29"/>
        <v>-7.747385358004831E-2</v>
      </c>
      <c r="AX83">
        <f t="shared" si="30"/>
        <v>0</v>
      </c>
      <c r="AY83">
        <f t="shared" si="30"/>
        <v>0</v>
      </c>
      <c r="BA83" s="1128">
        <v>3.1031807602792862E-3</v>
      </c>
      <c r="BC83">
        <f>BA83*D83</f>
        <v>3.8572536850271528</v>
      </c>
      <c r="BF83">
        <v>0.203532380151388</v>
      </c>
      <c r="BG83" s="1128">
        <f>BF83*D83</f>
        <v>252.99074852817529</v>
      </c>
    </row>
    <row r="84" spans="1:60" x14ac:dyDescent="0.2">
      <c r="A84" s="1145" t="s">
        <v>1074</v>
      </c>
      <c r="B84" s="1146">
        <v>5414</v>
      </c>
      <c r="C84" s="1127">
        <v>0</v>
      </c>
      <c r="D84" s="1127">
        <v>1023</v>
      </c>
      <c r="E84" s="1128">
        <v>0</v>
      </c>
      <c r="F84" s="1128">
        <v>0.16578313253012048</v>
      </c>
      <c r="G84" s="1128">
        <f t="shared" si="21"/>
        <v>0</v>
      </c>
      <c r="H84" s="1128">
        <f t="shared" si="21"/>
        <v>169.59614457831324</v>
      </c>
      <c r="K84" s="1128">
        <v>0</v>
      </c>
      <c r="L84" s="1128">
        <v>3.09477756286267E-2</v>
      </c>
      <c r="M84" s="1128">
        <v>0</v>
      </c>
      <c r="N84" s="1128">
        <v>8.5106382978723402E-2</v>
      </c>
      <c r="O84" s="1128">
        <v>0</v>
      </c>
      <c r="P84" s="1128">
        <v>0.114119922630561</v>
      </c>
      <c r="Q84" s="1128">
        <v>0</v>
      </c>
      <c r="R84" s="1128">
        <v>3.09477756286267E-2</v>
      </c>
      <c r="S84" s="1128">
        <v>0</v>
      </c>
      <c r="T84" s="1128">
        <v>2.80464216634429E-2</v>
      </c>
      <c r="U84" s="1128">
        <v>0</v>
      </c>
      <c r="V84" s="1128">
        <v>1.0638297872340399E-2</v>
      </c>
      <c r="X84" s="1128">
        <f t="shared" si="22"/>
        <v>0</v>
      </c>
      <c r="Y84" s="1128">
        <f t="shared" si="22"/>
        <v>31.659574468085115</v>
      </c>
      <c r="Z84" s="1128">
        <f t="shared" si="23"/>
        <v>0</v>
      </c>
      <c r="AA84" s="1128">
        <f t="shared" si="23"/>
        <v>87.063829787234042</v>
      </c>
      <c r="AB84" s="1128">
        <f t="shared" si="24"/>
        <v>0</v>
      </c>
      <c r="AC84" s="1128">
        <f t="shared" si="24"/>
        <v>116.7446808510639</v>
      </c>
      <c r="AD84" s="1128">
        <f t="shared" si="25"/>
        <v>0</v>
      </c>
      <c r="AE84" s="1128">
        <f t="shared" si="25"/>
        <v>31.659574468085115</v>
      </c>
      <c r="AF84" s="1128">
        <f t="shared" si="26"/>
        <v>0</v>
      </c>
      <c r="AG84" s="1128">
        <f t="shared" si="26"/>
        <v>28.691489361702086</v>
      </c>
      <c r="AH84" s="1128">
        <f t="shared" si="27"/>
        <v>0</v>
      </c>
      <c r="AI84" s="1128">
        <f t="shared" si="27"/>
        <v>10.882978723404229</v>
      </c>
      <c r="AL84" s="1128">
        <v>0</v>
      </c>
      <c r="AM84" s="1128">
        <v>2.2200772200772202E-2</v>
      </c>
      <c r="AO84">
        <f t="shared" si="28"/>
        <v>0</v>
      </c>
      <c r="AP84">
        <f t="shared" si="28"/>
        <v>22.711389961389962</v>
      </c>
      <c r="AS84" s="309">
        <v>0</v>
      </c>
      <c r="AT84" s="309">
        <v>4.53230472516876E-2</v>
      </c>
      <c r="AU84" s="309">
        <f t="shared" si="29"/>
        <v>-0.1</v>
      </c>
      <c r="AV84" s="1142">
        <f t="shared" si="29"/>
        <v>-5.4676952748312406E-2</v>
      </c>
      <c r="AX84">
        <f t="shared" si="30"/>
        <v>0</v>
      </c>
      <c r="AY84">
        <f t="shared" si="30"/>
        <v>0</v>
      </c>
      <c r="BA84" s="1128">
        <v>1.9267822736030828E-3</v>
      </c>
      <c r="BC84">
        <f>BA84*D84</f>
        <v>1.9710982658959537</v>
      </c>
      <c r="BF84">
        <v>0.15572858731924399</v>
      </c>
      <c r="BG84" s="1128">
        <f>BF84*D84</f>
        <v>159.31034482758662</v>
      </c>
    </row>
    <row r="85" spans="1:60" x14ac:dyDescent="0.2">
      <c r="A85" s="197" t="s">
        <v>114</v>
      </c>
      <c r="B85" s="1126">
        <v>2459</v>
      </c>
      <c r="C85" s="1127">
        <v>387</v>
      </c>
      <c r="D85" s="1127">
        <v>0</v>
      </c>
      <c r="E85" s="1128">
        <v>8.8311688311688313E-2</v>
      </c>
      <c r="F85" s="1128">
        <v>0</v>
      </c>
      <c r="G85" s="1128">
        <f t="shared" si="21"/>
        <v>34.176623376623375</v>
      </c>
      <c r="H85" s="1128">
        <f t="shared" si="21"/>
        <v>0</v>
      </c>
      <c r="K85" s="1128">
        <v>1.0335917312661499E-2</v>
      </c>
      <c r="L85" s="1128">
        <v>0</v>
      </c>
      <c r="M85" s="1128">
        <v>2.0671834625322998E-2</v>
      </c>
      <c r="N85" s="1128">
        <v>0</v>
      </c>
      <c r="O85" s="1128">
        <v>1.29198966408269E-2</v>
      </c>
      <c r="P85" s="1128">
        <v>0</v>
      </c>
      <c r="Q85" s="1128">
        <v>0</v>
      </c>
      <c r="R85" s="1128">
        <v>0</v>
      </c>
      <c r="S85" s="1128">
        <v>0</v>
      </c>
      <c r="T85" s="1128">
        <v>0</v>
      </c>
      <c r="U85" s="1128">
        <v>0</v>
      </c>
      <c r="V85" s="1128">
        <v>0</v>
      </c>
      <c r="X85" s="1128">
        <f t="shared" si="22"/>
        <v>4</v>
      </c>
      <c r="Y85" s="1128">
        <f t="shared" si="22"/>
        <v>0</v>
      </c>
      <c r="Z85" s="1128">
        <f t="shared" si="23"/>
        <v>8</v>
      </c>
      <c r="AA85" s="1128">
        <f t="shared" si="23"/>
        <v>0</v>
      </c>
      <c r="AB85" s="1128">
        <f t="shared" si="24"/>
        <v>5.0000000000000107</v>
      </c>
      <c r="AC85" s="1128">
        <f t="shared" si="24"/>
        <v>0</v>
      </c>
      <c r="AD85" s="1128">
        <f t="shared" si="25"/>
        <v>0</v>
      </c>
      <c r="AE85" s="1128">
        <f t="shared" si="25"/>
        <v>0</v>
      </c>
      <c r="AF85" s="1128">
        <f t="shared" si="26"/>
        <v>0</v>
      </c>
      <c r="AG85" s="1128">
        <f t="shared" si="26"/>
        <v>0</v>
      </c>
      <c r="AH85" s="1128">
        <f t="shared" si="27"/>
        <v>0</v>
      </c>
      <c r="AI85" s="1128">
        <f t="shared" si="27"/>
        <v>0</v>
      </c>
      <c r="AL85" s="1128">
        <v>3.62537764350453E-2</v>
      </c>
      <c r="AM85" s="1128">
        <v>0</v>
      </c>
      <c r="AO85">
        <f t="shared" si="28"/>
        <v>14.030211480362532</v>
      </c>
      <c r="AP85">
        <f t="shared" si="28"/>
        <v>0</v>
      </c>
      <c r="AS85" s="309">
        <v>6.9767441860465101E-2</v>
      </c>
      <c r="AT85" s="309">
        <v>0</v>
      </c>
      <c r="AU85" s="309">
        <f t="shared" si="29"/>
        <v>-3.0232558139534904E-2</v>
      </c>
      <c r="AV85" s="1142">
        <f t="shared" si="29"/>
        <v>-0.1</v>
      </c>
      <c r="AX85">
        <f t="shared" si="30"/>
        <v>0</v>
      </c>
      <c r="AY85">
        <f t="shared" si="30"/>
        <v>0</v>
      </c>
      <c r="BA85" s="1128">
        <v>0</v>
      </c>
      <c r="BC85">
        <f>BA85*C85</f>
        <v>0</v>
      </c>
      <c r="BF85">
        <v>0</v>
      </c>
      <c r="BG85" s="1128"/>
    </row>
    <row r="86" spans="1:60" x14ac:dyDescent="0.2">
      <c r="A86" s="1148" t="s">
        <v>157</v>
      </c>
      <c r="B86" s="1149">
        <v>2007</v>
      </c>
      <c r="C86" s="1127">
        <v>259</v>
      </c>
      <c r="D86" s="1127">
        <v>0</v>
      </c>
      <c r="E86" s="1128">
        <v>0.592741935483871</v>
      </c>
      <c r="F86" s="1128">
        <v>0</v>
      </c>
      <c r="G86" s="1128">
        <f t="shared" si="21"/>
        <v>153.52016129032259</v>
      </c>
      <c r="H86" s="1128">
        <f t="shared" si="21"/>
        <v>0</v>
      </c>
      <c r="K86" s="1128">
        <v>0</v>
      </c>
      <c r="L86" s="1128">
        <v>0</v>
      </c>
      <c r="M86" s="1128">
        <v>9.9206349206349201E-2</v>
      </c>
      <c r="N86" s="1128">
        <v>0</v>
      </c>
      <c r="O86" s="1128">
        <v>9.1269841269841306E-2</v>
      </c>
      <c r="P86" s="1128">
        <v>0</v>
      </c>
      <c r="Q86" s="1128">
        <v>0.46825396825396798</v>
      </c>
      <c r="R86" s="1128">
        <v>0</v>
      </c>
      <c r="S86" s="1128">
        <v>0.202380952380952</v>
      </c>
      <c r="T86" s="1128">
        <v>0</v>
      </c>
      <c r="U86" s="1128">
        <v>4.7619047619047603E-2</v>
      </c>
      <c r="V86" s="1128">
        <v>0</v>
      </c>
      <c r="X86" s="1128">
        <f t="shared" si="22"/>
        <v>0</v>
      </c>
      <c r="Y86" s="1128">
        <f t="shared" si="22"/>
        <v>0</v>
      </c>
      <c r="Z86" s="1128">
        <f t="shared" si="23"/>
        <v>25.694444444444443</v>
      </c>
      <c r="AA86" s="1128">
        <f t="shared" si="23"/>
        <v>0</v>
      </c>
      <c r="AB86" s="1128">
        <f t="shared" si="24"/>
        <v>23.6388888888889</v>
      </c>
      <c r="AC86" s="1128">
        <f t="shared" si="24"/>
        <v>0</v>
      </c>
      <c r="AD86" s="1128">
        <f t="shared" si="25"/>
        <v>121.2777777777777</v>
      </c>
      <c r="AE86" s="1128">
        <f t="shared" si="25"/>
        <v>0</v>
      </c>
      <c r="AF86" s="1128">
        <f t="shared" si="26"/>
        <v>52.416666666666565</v>
      </c>
      <c r="AG86" s="1128">
        <f t="shared" si="26"/>
        <v>0</v>
      </c>
      <c r="AH86" s="1128">
        <f t="shared" si="27"/>
        <v>12.333333333333329</v>
      </c>
      <c r="AI86" s="1128">
        <f t="shared" si="27"/>
        <v>0</v>
      </c>
      <c r="AL86" s="1128">
        <v>0.155963302752294</v>
      </c>
      <c r="AM86" s="1128">
        <v>0</v>
      </c>
      <c r="AO86">
        <f t="shared" si="28"/>
        <v>40.394495412844144</v>
      </c>
      <c r="AP86">
        <f t="shared" si="28"/>
        <v>0</v>
      </c>
      <c r="AS86" s="309">
        <v>7.3359073359073407E-2</v>
      </c>
      <c r="AT86" s="309">
        <v>0</v>
      </c>
      <c r="AU86" s="309">
        <f t="shared" si="29"/>
        <v>-2.6640926640926599E-2</v>
      </c>
      <c r="AV86" s="1142">
        <f t="shared" si="29"/>
        <v>-0.1</v>
      </c>
      <c r="AX86">
        <f t="shared" si="30"/>
        <v>0</v>
      </c>
      <c r="AY86">
        <f t="shared" si="30"/>
        <v>0</v>
      </c>
      <c r="BA86" s="1128">
        <v>8.0645161290322578E-3</v>
      </c>
      <c r="BC86">
        <f>BA86*C86</f>
        <v>2.088709677419355</v>
      </c>
      <c r="BF86">
        <v>0</v>
      </c>
      <c r="BG86" s="1128"/>
    </row>
    <row r="88" spans="1:60" s="1152" customFormat="1" x14ac:dyDescent="0.2">
      <c r="A88" s="1151" t="s">
        <v>1075</v>
      </c>
      <c r="B88" s="1151"/>
      <c r="C88" s="1152">
        <f t="shared" ref="C88:AZ88" si="32">SUM(C3:C87)</f>
        <v>21042.75</v>
      </c>
      <c r="D88" s="1152">
        <f t="shared" si="32"/>
        <v>12988</v>
      </c>
      <c r="E88" s="1152">
        <f t="shared" si="32"/>
        <v>23.060152537673495</v>
      </c>
      <c r="F88" s="1152">
        <f t="shared" si="32"/>
        <v>4.5884609391022586</v>
      </c>
      <c r="G88" s="1152">
        <f t="shared" si="32"/>
        <v>6707.090736192783</v>
      </c>
      <c r="H88" s="1152">
        <f t="shared" si="32"/>
        <v>4127.1360851468698</v>
      </c>
      <c r="I88" s="1152">
        <f t="shared" si="32"/>
        <v>0</v>
      </c>
      <c r="J88" s="1152">
        <f t="shared" si="32"/>
        <v>0</v>
      </c>
      <c r="K88" s="1152">
        <f t="shared" si="32"/>
        <v>5.0503635166764997</v>
      </c>
      <c r="L88" s="1152">
        <f t="shared" si="32"/>
        <v>0.92400426518364087</v>
      </c>
      <c r="M88" s="1152">
        <f t="shared" si="32"/>
        <v>7.6660805922999291</v>
      </c>
      <c r="N88" s="1152">
        <f t="shared" si="32"/>
        <v>1.2354282973781259</v>
      </c>
      <c r="O88" s="1152">
        <f t="shared" si="32"/>
        <v>12.244967351524984</v>
      </c>
      <c r="P88" s="1152">
        <f t="shared" si="32"/>
        <v>2.0967002592490527</v>
      </c>
      <c r="Q88" s="1152">
        <f t="shared" si="32"/>
        <v>9.2311756588857357</v>
      </c>
      <c r="R88" s="1152">
        <f t="shared" si="32"/>
        <v>1.5337184722548993</v>
      </c>
      <c r="S88" s="1152">
        <f t="shared" si="32"/>
        <v>6.6124087812994201</v>
      </c>
      <c r="T88" s="1152">
        <f t="shared" si="32"/>
        <v>1.1691640490105446</v>
      </c>
      <c r="U88" s="1152">
        <f t="shared" si="32"/>
        <v>3.6541792801098913</v>
      </c>
      <c r="V88" s="1152">
        <f t="shared" si="32"/>
        <v>0.7056308119281165</v>
      </c>
      <c r="W88" s="1152">
        <f t="shared" si="32"/>
        <v>0</v>
      </c>
      <c r="X88" s="1152">
        <f t="shared" si="32"/>
        <v>1406.3004908302112</v>
      </c>
      <c r="Y88" s="1152">
        <f t="shared" si="32"/>
        <v>930.46560225482938</v>
      </c>
      <c r="Z88" s="1152">
        <f t="shared" si="32"/>
        <v>2086.9097756797519</v>
      </c>
      <c r="AA88" s="1152">
        <f t="shared" si="32"/>
        <v>1189.4354519609578</v>
      </c>
      <c r="AB88" s="1152">
        <f t="shared" si="32"/>
        <v>3693.4021368883</v>
      </c>
      <c r="AC88" s="1152">
        <f t="shared" si="32"/>
        <v>1982.4058774458035</v>
      </c>
      <c r="AD88" s="1152">
        <f t="shared" si="32"/>
        <v>2656.3993011498264</v>
      </c>
      <c r="AE88" s="1152">
        <f t="shared" si="32"/>
        <v>1325.5407862021955</v>
      </c>
      <c r="AF88" s="1152">
        <f t="shared" si="32"/>
        <v>1873.8551884238548</v>
      </c>
      <c r="AG88" s="1152">
        <f t="shared" si="32"/>
        <v>933.15532969498963</v>
      </c>
      <c r="AH88" s="1152">
        <f t="shared" si="32"/>
        <v>1125.4733107362047</v>
      </c>
      <c r="AI88" s="1152">
        <f t="shared" si="32"/>
        <v>604.65103758206317</v>
      </c>
      <c r="AJ88" s="1152">
        <f t="shared" si="32"/>
        <v>0</v>
      </c>
      <c r="AK88" s="1152">
        <f t="shared" si="32"/>
        <v>0</v>
      </c>
      <c r="AL88" s="1152">
        <f t="shared" si="32"/>
        <v>10.476758499674723</v>
      </c>
      <c r="AM88" s="1152">
        <f t="shared" si="32"/>
        <v>0.57083055447120135</v>
      </c>
      <c r="AN88" s="1152">
        <f t="shared" si="32"/>
        <v>0</v>
      </c>
      <c r="AO88" s="1152">
        <f t="shared" si="32"/>
        <v>2933.5222626485624</v>
      </c>
      <c r="AP88" s="1152">
        <f t="shared" si="32"/>
        <v>459.13318435253211</v>
      </c>
      <c r="AQ88" s="1152">
        <f t="shared" si="32"/>
        <v>0</v>
      </c>
      <c r="AR88" s="1152">
        <f t="shared" si="32"/>
        <v>0</v>
      </c>
      <c r="AS88" s="1153">
        <f t="shared" si="32"/>
        <v>6.2400823779033345</v>
      </c>
      <c r="AT88" s="1153">
        <f t="shared" si="32"/>
        <v>2.3602652232223109</v>
      </c>
      <c r="AU88" s="1152">
        <f>SUM(AU3:AU87)</f>
        <v>-2.159917622096664</v>
      </c>
      <c r="AW88" s="1152">
        <f t="shared" si="32"/>
        <v>0</v>
      </c>
      <c r="AX88" s="1152">
        <f t="shared" si="32"/>
        <v>451.03981142742907</v>
      </c>
      <c r="AY88" s="1152">
        <f t="shared" si="32"/>
        <v>1131.1110929853176</v>
      </c>
      <c r="AZ88" s="1152">
        <f t="shared" si="32"/>
        <v>0</v>
      </c>
      <c r="BA88" s="1152">
        <f>SUM(BA3:BA87)</f>
        <v>0.37521212726165626</v>
      </c>
      <c r="BB88" s="1152">
        <f t="shared" ref="BB88:BH88" si="33">SUM(BB3:BB87)</f>
        <v>0</v>
      </c>
      <c r="BC88" s="1152">
        <f t="shared" si="33"/>
        <v>152.17209784514966</v>
      </c>
      <c r="BD88" s="1152">
        <f t="shared" si="33"/>
        <v>0</v>
      </c>
      <c r="BE88" s="1152">
        <f t="shared" si="33"/>
        <v>0</v>
      </c>
      <c r="BF88" s="1152">
        <f t="shared" si="33"/>
        <v>4.1070449484486025</v>
      </c>
      <c r="BG88" s="1152">
        <f t="shared" si="33"/>
        <v>3725.8511634062916</v>
      </c>
      <c r="BH88" s="1152">
        <f t="shared" si="33"/>
        <v>0</v>
      </c>
    </row>
    <row r="89" spans="1:60" x14ac:dyDescent="0.2">
      <c r="C89" s="1127">
        <v>0</v>
      </c>
      <c r="D89" s="1128">
        <v>0</v>
      </c>
    </row>
    <row r="90" spans="1:60" x14ac:dyDescent="0.2">
      <c r="C90" s="1154"/>
    </row>
    <row r="91" spans="1:60" s="828" customFormat="1" ht="15" x14ac:dyDescent="0.25">
      <c r="A91" s="1155" t="s">
        <v>793</v>
      </c>
      <c r="B91" s="1155">
        <v>4000</v>
      </c>
      <c r="C91" s="1156">
        <v>108</v>
      </c>
      <c r="D91" s="1156">
        <v>126</v>
      </c>
      <c r="E91" s="1128">
        <v>0.56799999999999973</v>
      </c>
      <c r="F91" s="1128">
        <v>0.56799999999999973</v>
      </c>
      <c r="G91" s="1157">
        <f>E91*C91</f>
        <v>61.343999999999973</v>
      </c>
      <c r="H91" s="1157">
        <f>F91*D91</f>
        <v>71.567999999999969</v>
      </c>
      <c r="K91" s="1128">
        <v>1.01010101010101E-2</v>
      </c>
      <c r="L91" s="1128">
        <v>1.94174757281553E-2</v>
      </c>
      <c r="M91" s="1128">
        <v>0.13131313131313099</v>
      </c>
      <c r="N91" s="1128">
        <v>0.12621359223301001</v>
      </c>
      <c r="O91" s="1128">
        <v>0.33838383838383801</v>
      </c>
      <c r="P91" s="1128">
        <v>0.32038834951456302</v>
      </c>
      <c r="Q91" s="1128">
        <v>0.31818181818181801</v>
      </c>
      <c r="R91" s="1128">
        <v>0.30582524271844702</v>
      </c>
      <c r="S91" s="1128">
        <v>3.5353535353535401E-2</v>
      </c>
      <c r="T91" s="1128">
        <v>7.2815533980582506E-2</v>
      </c>
      <c r="U91" s="1128">
        <v>3.03030303030303E-2</v>
      </c>
      <c r="V91" s="1128">
        <v>5.8252427184466E-2</v>
      </c>
      <c r="X91" s="1157">
        <f>K91*C91</f>
        <v>1.0909090909090908</v>
      </c>
      <c r="Y91" s="1157">
        <f>L91*D91</f>
        <v>2.4466019417475677</v>
      </c>
      <c r="Z91" s="1157">
        <f>M91*C91</f>
        <v>14.181818181818148</v>
      </c>
      <c r="AA91" s="1157">
        <f>N91*D91</f>
        <v>15.902912621359262</v>
      </c>
      <c r="AB91" s="1157">
        <f>O91*C91</f>
        <v>36.545454545454504</v>
      </c>
      <c r="AC91" s="1157">
        <f>P91*D91</f>
        <v>40.368932038834942</v>
      </c>
      <c r="AD91" s="1157">
        <f>Q91*C91</f>
        <v>34.363636363636346</v>
      </c>
      <c r="AE91" s="1157">
        <f>R91*D91</f>
        <v>38.533980582524322</v>
      </c>
      <c r="AF91" s="1157">
        <f>S91*C91</f>
        <v>3.8181818181818232</v>
      </c>
      <c r="AG91" s="1157">
        <f>T91*D91</f>
        <v>9.1747572815533953</v>
      </c>
      <c r="AH91" s="1157">
        <f>U91*C91</f>
        <v>3.2727272727272725</v>
      </c>
      <c r="AI91" s="1157">
        <f>V91*D91</f>
        <v>7.3398058252427161</v>
      </c>
      <c r="AL91" s="1128">
        <v>0.32</v>
      </c>
      <c r="AM91" s="1128">
        <v>7.6190476190476197E-2</v>
      </c>
      <c r="AO91" s="198">
        <f>AL91*C91</f>
        <v>34.56</v>
      </c>
      <c r="AP91" s="198">
        <f>AM91*D91</f>
        <v>9.6000000000000014</v>
      </c>
      <c r="AS91" s="309">
        <v>0.16</v>
      </c>
      <c r="AT91" s="309">
        <v>8.5714285714285701E-2</v>
      </c>
      <c r="AU91" s="309">
        <f t="shared" ref="AU91:AV92" si="34">AS91-10%</f>
        <v>0.06</v>
      </c>
      <c r="AV91" s="1142">
        <f t="shared" si="34"/>
        <v>-1.4285714285714304E-2</v>
      </c>
      <c r="AX91">
        <f t="shared" ref="AX91:AY92" si="35">IF(AU91&gt;0,AU91*C91,0)</f>
        <v>6.4799999999999995</v>
      </c>
      <c r="AY91">
        <f t="shared" si="35"/>
        <v>0</v>
      </c>
      <c r="BA91" s="1128">
        <v>0</v>
      </c>
      <c r="BC91" s="198">
        <f>BA91*C91</f>
        <v>0</v>
      </c>
      <c r="BF91">
        <v>0.30872483221476499</v>
      </c>
      <c r="BG91" s="1157">
        <f>BF91*D91</f>
        <v>38.89932885906039</v>
      </c>
    </row>
    <row r="92" spans="1:60" s="828" customFormat="1" ht="15" x14ac:dyDescent="0.25">
      <c r="A92" s="1155" t="s">
        <v>792</v>
      </c>
      <c r="B92" s="1155">
        <v>6905</v>
      </c>
      <c r="C92" s="1156">
        <v>0</v>
      </c>
      <c r="D92" s="1156">
        <v>847</v>
      </c>
      <c r="E92" s="1128">
        <v>0</v>
      </c>
      <c r="F92" s="1128">
        <v>0.30106257378984652</v>
      </c>
      <c r="G92" s="1157">
        <f>E92*C92</f>
        <v>0</v>
      </c>
      <c r="H92" s="1157">
        <f>F92*D92</f>
        <v>255</v>
      </c>
      <c r="K92" s="1128">
        <v>0</v>
      </c>
      <c r="L92" s="1128">
        <v>5.2071005917159803E-2</v>
      </c>
      <c r="M92" s="1128">
        <v>0</v>
      </c>
      <c r="N92" s="1128">
        <v>0.100591715976331</v>
      </c>
      <c r="O92" s="1128">
        <v>0</v>
      </c>
      <c r="P92" s="1128">
        <v>0.17869822485207101</v>
      </c>
      <c r="Q92" s="1128">
        <v>0</v>
      </c>
      <c r="R92" s="1128">
        <v>0.16686390532544401</v>
      </c>
      <c r="S92" s="1128">
        <v>0</v>
      </c>
      <c r="T92" s="1128">
        <v>6.5088757396449703E-2</v>
      </c>
      <c r="U92" s="1128">
        <v>0</v>
      </c>
      <c r="V92" s="1128">
        <v>4.4970414201183397E-2</v>
      </c>
      <c r="X92" s="1157">
        <f>K92*C92</f>
        <v>0</v>
      </c>
      <c r="Y92" s="1157">
        <f>L92*D92</f>
        <v>44.104142011834355</v>
      </c>
      <c r="Z92" s="1157">
        <f>M92*C92</f>
        <v>0</v>
      </c>
      <c r="AA92" s="1157">
        <f>N92*D92</f>
        <v>85.201183431952359</v>
      </c>
      <c r="AB92" s="1157">
        <f>O92*C92</f>
        <v>0</v>
      </c>
      <c r="AC92" s="1157">
        <f>P92*D92</f>
        <v>151.35739644970414</v>
      </c>
      <c r="AD92" s="1157">
        <f>Q92*C92</f>
        <v>0</v>
      </c>
      <c r="AE92" s="1157">
        <f>R92*D92</f>
        <v>141.33372781065108</v>
      </c>
      <c r="AF92" s="1157">
        <f>S92*C92</f>
        <v>0</v>
      </c>
      <c r="AG92" s="1157">
        <f>T92*D92</f>
        <v>55.130177514792898</v>
      </c>
      <c r="AH92" s="1157">
        <f>U92*C92</f>
        <v>0</v>
      </c>
      <c r="AI92" s="1157">
        <f>V92*D92</f>
        <v>38.089940828402334</v>
      </c>
      <c r="AL92" s="1128">
        <v>0</v>
      </c>
      <c r="AM92" s="1128">
        <v>1.1820330969267099E-2</v>
      </c>
      <c r="AO92" s="198">
        <f>AL92*C92</f>
        <v>0</v>
      </c>
      <c r="AP92" s="198">
        <f>AM92*D92</f>
        <v>10.011820330969233</v>
      </c>
      <c r="AS92" s="309">
        <v>0</v>
      </c>
      <c r="AT92" s="309">
        <v>1.53664302600473E-2</v>
      </c>
      <c r="AU92" s="309">
        <f t="shared" si="34"/>
        <v>-0.1</v>
      </c>
      <c r="AV92" s="1142">
        <f t="shared" si="34"/>
        <v>-8.4633569739952702E-2</v>
      </c>
      <c r="AX92">
        <f t="shared" si="35"/>
        <v>0</v>
      </c>
      <c r="AY92">
        <f t="shared" si="35"/>
        <v>0</v>
      </c>
      <c r="BA92" s="1128">
        <v>8.2644628099173556E-3</v>
      </c>
      <c r="BC92" s="198">
        <f>BA92*C92</f>
        <v>0</v>
      </c>
      <c r="BF92">
        <v>0.18940397350993399</v>
      </c>
      <c r="BG92" s="1157">
        <f>BF92*D92</f>
        <v>160.42516556291409</v>
      </c>
    </row>
    <row r="93" spans="1:60" x14ac:dyDescent="0.2">
      <c r="C93" s="1154"/>
    </row>
    <row r="94" spans="1:60" s="1152" customFormat="1" x14ac:dyDescent="0.2">
      <c r="A94" s="1151" t="s">
        <v>1076</v>
      </c>
      <c r="B94" s="1151"/>
      <c r="C94" s="1152">
        <f>C92+C91+C88</f>
        <v>21150.75</v>
      </c>
      <c r="D94" s="1152">
        <f t="shared" ref="D94:BH94" si="36">D92+D91+D88</f>
        <v>13961</v>
      </c>
      <c r="E94" s="1158">
        <f t="shared" si="36"/>
        <v>23.628152537673497</v>
      </c>
      <c r="F94" s="1158">
        <f t="shared" si="36"/>
        <v>5.4575235128921049</v>
      </c>
      <c r="G94" s="1152">
        <f t="shared" si="36"/>
        <v>6768.434736192783</v>
      </c>
      <c r="H94" s="1152">
        <f t="shared" si="36"/>
        <v>4453.7040851468701</v>
      </c>
      <c r="I94" s="1152">
        <f t="shared" si="36"/>
        <v>0</v>
      </c>
      <c r="J94" s="1152">
        <f t="shared" si="36"/>
        <v>0</v>
      </c>
      <c r="K94" s="1158">
        <f t="shared" si="36"/>
        <v>5.0604645267775101</v>
      </c>
      <c r="L94" s="1158">
        <f t="shared" si="36"/>
        <v>0.99549274682895594</v>
      </c>
      <c r="M94" s="1158">
        <f t="shared" si="36"/>
        <v>7.7973937236130597</v>
      </c>
      <c r="N94" s="1158">
        <f t="shared" si="36"/>
        <v>1.462233605587467</v>
      </c>
      <c r="O94" s="1158">
        <f t="shared" si="36"/>
        <v>12.583351189908822</v>
      </c>
      <c r="P94" s="1158">
        <f t="shared" si="36"/>
        <v>2.5957868336156866</v>
      </c>
      <c r="Q94" s="1158">
        <f t="shared" si="36"/>
        <v>9.549357477067554</v>
      </c>
      <c r="R94" s="1158">
        <f t="shared" si="36"/>
        <v>2.0064076202987904</v>
      </c>
      <c r="S94" s="1158">
        <f t="shared" si="36"/>
        <v>6.6477623166529556</v>
      </c>
      <c r="T94" s="1158">
        <f t="shared" si="36"/>
        <v>1.3070683403875769</v>
      </c>
      <c r="U94" s="1158">
        <f t="shared" si="36"/>
        <v>3.6844823104129216</v>
      </c>
      <c r="V94" s="1158">
        <f t="shared" si="36"/>
        <v>0.80885365331376591</v>
      </c>
      <c r="W94" s="1152">
        <f t="shared" si="36"/>
        <v>0</v>
      </c>
      <c r="X94" s="1152">
        <f t="shared" si="36"/>
        <v>1407.3913999211202</v>
      </c>
      <c r="Y94" s="1152">
        <f t="shared" si="36"/>
        <v>977.01634620841128</v>
      </c>
      <c r="Z94" s="1152">
        <f t="shared" si="36"/>
        <v>2101.0915938615699</v>
      </c>
      <c r="AA94" s="1152">
        <f t="shared" si="36"/>
        <v>1290.5395480142695</v>
      </c>
      <c r="AB94" s="1152">
        <f t="shared" si="36"/>
        <v>3729.9475914337545</v>
      </c>
      <c r="AC94" s="1152">
        <f t="shared" si="36"/>
        <v>2174.1322059343424</v>
      </c>
      <c r="AD94" s="1152">
        <f t="shared" si="36"/>
        <v>2690.7629375134629</v>
      </c>
      <c r="AE94" s="1152">
        <f t="shared" si="36"/>
        <v>1505.4084945953709</v>
      </c>
      <c r="AF94" s="1152">
        <f t="shared" si="36"/>
        <v>1877.6733702420365</v>
      </c>
      <c r="AG94" s="1152">
        <f t="shared" si="36"/>
        <v>997.46026449133592</v>
      </c>
      <c r="AH94" s="1152">
        <f t="shared" si="36"/>
        <v>1128.7460380089319</v>
      </c>
      <c r="AI94" s="1152">
        <f t="shared" si="36"/>
        <v>650.08078423570817</v>
      </c>
      <c r="AJ94" s="1152">
        <f t="shared" si="36"/>
        <v>0</v>
      </c>
      <c r="AK94" s="1152">
        <f t="shared" si="36"/>
        <v>0</v>
      </c>
      <c r="AL94" s="1158">
        <f t="shared" si="36"/>
        <v>10.796758499674723</v>
      </c>
      <c r="AM94" s="1158">
        <f t="shared" si="36"/>
        <v>0.65884136163094464</v>
      </c>
      <c r="AN94" s="1152">
        <f t="shared" si="36"/>
        <v>0</v>
      </c>
      <c r="AO94" s="1152">
        <f t="shared" si="36"/>
        <v>2968.0822626485624</v>
      </c>
      <c r="AP94" s="1152">
        <f t="shared" si="36"/>
        <v>478.74500468350135</v>
      </c>
      <c r="AQ94" s="1152">
        <f t="shared" si="36"/>
        <v>0</v>
      </c>
      <c r="AR94" s="1152">
        <f t="shared" si="36"/>
        <v>0</v>
      </c>
      <c r="AS94" s="1159">
        <f t="shared" si="36"/>
        <v>6.4000823779033347</v>
      </c>
      <c r="AT94" s="1159">
        <f t="shared" si="36"/>
        <v>2.4613459391966441</v>
      </c>
      <c r="AU94" s="1153"/>
      <c r="AW94" s="1152">
        <f t="shared" si="36"/>
        <v>0</v>
      </c>
      <c r="AX94" s="1152">
        <f t="shared" si="36"/>
        <v>457.51981142742909</v>
      </c>
      <c r="AY94" s="1152">
        <f t="shared" si="36"/>
        <v>1131.1110929853176</v>
      </c>
      <c r="AZ94" s="1152">
        <f t="shared" si="36"/>
        <v>0</v>
      </c>
      <c r="BA94" s="1158">
        <f t="shared" si="36"/>
        <v>0.38347659007157364</v>
      </c>
      <c r="BB94" s="1152">
        <f t="shared" si="36"/>
        <v>0</v>
      </c>
      <c r="BC94" s="1152">
        <f t="shared" si="36"/>
        <v>152.17209784514966</v>
      </c>
      <c r="BD94" s="1152">
        <f t="shared" si="36"/>
        <v>0</v>
      </c>
      <c r="BE94" s="1152">
        <f t="shared" si="36"/>
        <v>0</v>
      </c>
      <c r="BF94" s="1158">
        <f t="shared" si="36"/>
        <v>4.6051737541733013</v>
      </c>
      <c r="BG94" s="1152">
        <f t="shared" si="36"/>
        <v>3925.1756578282661</v>
      </c>
      <c r="BH94" s="1152">
        <f t="shared" si="36"/>
        <v>0</v>
      </c>
    </row>
    <row r="95" spans="1:60" x14ac:dyDescent="0.2">
      <c r="C95" s="1154"/>
      <c r="BC95" s="1128"/>
    </row>
    <row r="99" spans="2:60" x14ac:dyDescent="0.2">
      <c r="B99" s="1160">
        <v>1</v>
      </c>
      <c r="C99" s="1161">
        <v>2</v>
      </c>
      <c r="D99" s="1160">
        <v>3</v>
      </c>
      <c r="E99" s="1161">
        <v>4</v>
      </c>
      <c r="F99" s="1160">
        <v>5</v>
      </c>
      <c r="G99" s="1161">
        <v>6</v>
      </c>
      <c r="H99" s="1160">
        <v>7</v>
      </c>
      <c r="I99" s="1161">
        <v>8</v>
      </c>
      <c r="J99" s="1160">
        <v>9</v>
      </c>
      <c r="K99" s="1161">
        <v>10</v>
      </c>
      <c r="L99" s="1160">
        <v>11</v>
      </c>
      <c r="M99" s="1161">
        <v>12</v>
      </c>
      <c r="N99" s="1160">
        <v>13</v>
      </c>
      <c r="O99" s="1161">
        <v>14</v>
      </c>
      <c r="P99" s="1160">
        <v>15</v>
      </c>
      <c r="Q99" s="1161">
        <v>16</v>
      </c>
      <c r="R99" s="1160">
        <v>17</v>
      </c>
      <c r="S99" s="1161">
        <v>18</v>
      </c>
      <c r="T99" s="1160">
        <v>19</v>
      </c>
      <c r="U99" s="1161">
        <v>20</v>
      </c>
      <c r="V99" s="1160">
        <v>21</v>
      </c>
      <c r="W99" s="1161">
        <v>22</v>
      </c>
      <c r="X99" s="1160">
        <v>23</v>
      </c>
      <c r="Y99" s="1161">
        <v>24</v>
      </c>
      <c r="Z99" s="1160">
        <v>25</v>
      </c>
      <c r="AA99" s="1161">
        <v>26</v>
      </c>
      <c r="AB99" s="1160">
        <v>27</v>
      </c>
      <c r="AC99" s="1161">
        <v>28</v>
      </c>
      <c r="AD99" s="1160">
        <v>29</v>
      </c>
      <c r="AE99" s="1161">
        <v>30</v>
      </c>
      <c r="AF99" s="1160">
        <v>31</v>
      </c>
      <c r="AG99" s="1161">
        <v>32</v>
      </c>
      <c r="AH99" s="1160">
        <v>33</v>
      </c>
      <c r="AI99" s="1161">
        <v>34</v>
      </c>
      <c r="AJ99" s="1160">
        <v>35</v>
      </c>
      <c r="AK99" s="1161">
        <v>36</v>
      </c>
      <c r="AL99" s="1160">
        <v>37</v>
      </c>
      <c r="AM99" s="1161">
        <v>38</v>
      </c>
      <c r="AN99" s="1160">
        <v>39</v>
      </c>
      <c r="AO99" s="1161">
        <v>40</v>
      </c>
      <c r="AP99" s="1160">
        <v>41</v>
      </c>
      <c r="AQ99" s="1161">
        <v>42</v>
      </c>
      <c r="AR99" s="1160">
        <v>43</v>
      </c>
      <c r="AS99" s="839">
        <v>44</v>
      </c>
      <c r="AT99" s="1162">
        <v>45</v>
      </c>
      <c r="AU99" s="1160"/>
      <c r="AV99" s="1160"/>
      <c r="AW99" s="1161">
        <v>46</v>
      </c>
      <c r="AX99" s="1160">
        <v>47</v>
      </c>
      <c r="AY99" s="1161">
        <v>48</v>
      </c>
      <c r="AZ99" s="1160">
        <v>49</v>
      </c>
      <c r="BA99" s="1161">
        <v>50</v>
      </c>
      <c r="BB99" s="1160">
        <v>51</v>
      </c>
      <c r="BC99" s="1161">
        <v>52</v>
      </c>
      <c r="BD99" s="1160">
        <v>53</v>
      </c>
      <c r="BE99" s="1161">
        <v>54</v>
      </c>
      <c r="BF99" s="1160">
        <v>55</v>
      </c>
      <c r="BG99" s="1161">
        <v>56</v>
      </c>
      <c r="BH99" s="1160">
        <v>57</v>
      </c>
    </row>
  </sheetData>
  <sheetProtection password="EF5C" sheet="1" objects="1" scenarios="1"/>
  <pageMargins left="0.70866141732283472" right="0.70866141732283472" top="0.74803149606299213" bottom="0.74803149606299213" header="0.31496062992125984" footer="0.31496062992125984"/>
  <pageSetup paperSize="9" scale="55" orientation="landscape" r:id="rId1"/>
  <headerFooter>
    <oddFooter>&amp;Z&amp;F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12"/>
  <sheetViews>
    <sheetView zoomScale="85" zoomScaleNormal="85" zoomScaleSheetLayoutView="50" workbookViewId="0">
      <pane xSplit="2" ySplit="1" topLeftCell="Q63" activePane="bottomRight" state="frozen"/>
      <selection activeCell="A21" sqref="A21"/>
      <selection pane="topRight" activeCell="A21" sqref="A21"/>
      <selection pane="bottomLeft" activeCell="A21" sqref="A21"/>
      <selection pane="bottomRight" activeCell="X89" sqref="X89"/>
    </sheetView>
  </sheetViews>
  <sheetFormatPr defaultRowHeight="12.75" x14ac:dyDescent="0.2"/>
  <cols>
    <col min="1" max="1" width="50.42578125" style="223" bestFit="1" customWidth="1"/>
    <col min="2" max="2" width="17.140625" style="198" bestFit="1" customWidth="1"/>
    <col min="3" max="15" width="13.85546875" style="20" customWidth="1"/>
    <col min="16" max="16" width="18.28515625" style="20" customWidth="1"/>
    <col min="17" max="17" width="13.85546875" style="20" customWidth="1"/>
    <col min="18" max="18" width="22.5703125" style="20" customWidth="1"/>
    <col min="19" max="19" width="11.85546875" style="222" customWidth="1"/>
    <col min="20" max="20" width="12.85546875" style="20" customWidth="1"/>
    <col min="21" max="24" width="9.140625" style="20"/>
    <col min="25" max="25" width="11.28515625" style="20" customWidth="1"/>
    <col min="26" max="26" width="12.7109375" style="20" bestFit="1" customWidth="1"/>
    <col min="27" max="27" width="11.28515625" style="222" bestFit="1" customWidth="1"/>
    <col min="28" max="28" width="9.140625" style="20"/>
    <col min="29" max="29" width="11.28515625" style="20" bestFit="1" customWidth="1"/>
    <col min="30" max="30" width="9.140625" style="20"/>
    <col min="31" max="31" width="10" style="20" customWidth="1"/>
    <col min="32" max="34" width="9.140625" style="20"/>
    <col min="35" max="35" width="11.28515625" style="20" customWidth="1"/>
    <col min="36" max="37" width="9.140625" style="20"/>
    <col min="38" max="16384" width="9.140625" style="223"/>
  </cols>
  <sheetData>
    <row r="1" spans="1:37" s="253" customFormat="1" ht="57" customHeight="1" x14ac:dyDescent="0.2">
      <c r="A1" s="252" t="s">
        <v>180</v>
      </c>
      <c r="B1" s="255" t="s">
        <v>142</v>
      </c>
      <c r="C1" s="17" t="s">
        <v>274</v>
      </c>
      <c r="D1" s="17" t="s">
        <v>214</v>
      </c>
      <c r="E1" s="17" t="s">
        <v>215</v>
      </c>
      <c r="F1" s="17" t="s">
        <v>216</v>
      </c>
      <c r="G1" s="17" t="s">
        <v>217</v>
      </c>
      <c r="H1" s="17" t="s">
        <v>218</v>
      </c>
      <c r="I1" s="17" t="s">
        <v>219</v>
      </c>
      <c r="J1" s="17" t="s">
        <v>220</v>
      </c>
      <c r="K1" s="17" t="s">
        <v>221</v>
      </c>
      <c r="L1" s="17" t="s">
        <v>222</v>
      </c>
      <c r="M1" s="17" t="s">
        <v>224</v>
      </c>
      <c r="N1" s="17" t="s">
        <v>210</v>
      </c>
      <c r="O1" s="17" t="s">
        <v>211</v>
      </c>
      <c r="P1" s="17" t="s">
        <v>272</v>
      </c>
      <c r="Q1" s="17" t="s">
        <v>281</v>
      </c>
      <c r="R1" s="254" t="s">
        <v>279</v>
      </c>
      <c r="S1" s="254" t="s">
        <v>280</v>
      </c>
      <c r="T1" s="254" t="s">
        <v>285</v>
      </c>
      <c r="U1" s="254" t="s">
        <v>286</v>
      </c>
      <c r="V1" s="254" t="s">
        <v>287</v>
      </c>
      <c r="W1" s="254" t="s">
        <v>937</v>
      </c>
      <c r="X1" s="254" t="s">
        <v>288</v>
      </c>
      <c r="Y1" s="254" t="s">
        <v>289</v>
      </c>
      <c r="Z1" s="254" t="s">
        <v>290</v>
      </c>
      <c r="AA1" s="254" t="s">
        <v>291</v>
      </c>
      <c r="AB1" s="254"/>
      <c r="AC1" s="254" t="s">
        <v>780</v>
      </c>
      <c r="AD1" s="254"/>
      <c r="AE1" s="254" t="s">
        <v>981</v>
      </c>
      <c r="AF1" s="254"/>
      <c r="AG1" s="254" t="s">
        <v>982</v>
      </c>
      <c r="AH1" s="254" t="s">
        <v>262</v>
      </c>
      <c r="AI1" s="254"/>
      <c r="AJ1" s="254"/>
      <c r="AK1" s="254"/>
    </row>
    <row r="2" spans="1:37" x14ac:dyDescent="0.2">
      <c r="A2" s="18" t="s">
        <v>44</v>
      </c>
      <c r="B2" s="216">
        <v>2400</v>
      </c>
      <c r="C2" s="20">
        <v>788787.02730000007</v>
      </c>
      <c r="D2" s="20">
        <v>441770.90251336654</v>
      </c>
      <c r="E2" s="20">
        <v>2847.485303583062</v>
      </c>
      <c r="F2" s="20">
        <v>0</v>
      </c>
      <c r="G2" s="20">
        <v>40525.107814285591</v>
      </c>
      <c r="H2" s="20">
        <v>18834.976000000061</v>
      </c>
      <c r="I2" s="20">
        <v>100000</v>
      </c>
      <c r="J2" s="20">
        <v>0</v>
      </c>
      <c r="K2" s="20">
        <v>28828.94</v>
      </c>
      <c r="L2" s="20">
        <v>0</v>
      </c>
      <c r="M2" s="222">
        <v>0</v>
      </c>
      <c r="N2" s="222">
        <f t="shared" ref="N2:N64" si="0">SUM(C2:M2)</f>
        <v>1421594.4389312353</v>
      </c>
      <c r="O2" s="20">
        <v>0</v>
      </c>
      <c r="P2" s="20">
        <v>-5705.3546302169379</v>
      </c>
      <c r="Q2" s="222">
        <f>SUM(N2:P2)</f>
        <v>1415889.0843010184</v>
      </c>
      <c r="R2" s="20">
        <v>-23583.332428888742</v>
      </c>
      <c r="S2" s="222">
        <f>SUM(Q2+R2)</f>
        <v>1392305.7518721297</v>
      </c>
      <c r="T2" s="20">
        <v>14953</v>
      </c>
      <c r="U2" s="20">
        <v>0</v>
      </c>
      <c r="V2" s="20">
        <v>9010</v>
      </c>
      <c r="W2" s="20">
        <v>0</v>
      </c>
      <c r="X2" s="20">
        <v>0</v>
      </c>
      <c r="Y2" s="20">
        <f>SUMIF('Nursery Formula'!C:C,B2,'Nursery Formula'!AQ:AQ)</f>
        <v>0</v>
      </c>
      <c r="Z2" s="20">
        <v>0</v>
      </c>
      <c r="AA2" s="222">
        <f t="shared" ref="AA2:AA64" si="1">SUM(S2:Z2)</f>
        <v>1416268.7518721297</v>
      </c>
      <c r="AC2" s="20">
        <v>0</v>
      </c>
      <c r="AE2" s="20">
        <f>C2+R2</f>
        <v>765203.69487111131</v>
      </c>
      <c r="AG2" s="20">
        <f>VLOOKUP($B2,Rates!$B:$F,5,FALSE)</f>
        <v>-316.54000000000002</v>
      </c>
      <c r="AH2" s="20">
        <f>VLOOKUP($B2,Rates!$B:$F,4,FALSE)</f>
        <v>29145.48</v>
      </c>
    </row>
    <row r="3" spans="1:37" x14ac:dyDescent="0.2">
      <c r="A3" s="18" t="s">
        <v>45</v>
      </c>
      <c r="B3" s="216">
        <v>2443</v>
      </c>
      <c r="C3" s="20">
        <v>632494.86090000009</v>
      </c>
      <c r="D3" s="20">
        <v>121315.97960236929</v>
      </c>
      <c r="E3" s="20">
        <v>1298.0856492592593</v>
      </c>
      <c r="F3" s="20">
        <v>0</v>
      </c>
      <c r="G3" s="20">
        <v>7470.8445235954987</v>
      </c>
      <c r="H3" s="20">
        <v>0</v>
      </c>
      <c r="I3" s="20">
        <v>100000</v>
      </c>
      <c r="J3" s="20">
        <v>0</v>
      </c>
      <c r="K3" s="20">
        <v>14051.08</v>
      </c>
      <c r="L3" s="20">
        <v>0</v>
      </c>
      <c r="M3" s="222">
        <v>0</v>
      </c>
      <c r="N3" s="222">
        <f t="shared" si="0"/>
        <v>876630.85067522409</v>
      </c>
      <c r="O3" s="20">
        <v>55200.112272558035</v>
      </c>
      <c r="P3" s="20">
        <v>0</v>
      </c>
      <c r="Q3" s="222">
        <f t="shared" ref="Q3:Q66" si="2">SUM(N3:P3)</f>
        <v>931830.96294778213</v>
      </c>
      <c r="R3" s="20">
        <v>-18910.473990966515</v>
      </c>
      <c r="S3" s="222">
        <f t="shared" ref="S3:S66" si="3">SUM(Q3+R3)</f>
        <v>912920.48895681556</v>
      </c>
      <c r="T3" s="20">
        <v>26557</v>
      </c>
      <c r="U3" s="20">
        <v>0</v>
      </c>
      <c r="V3" s="20">
        <v>5631</v>
      </c>
      <c r="W3" s="20">
        <v>0</v>
      </c>
      <c r="X3" s="20">
        <v>0</v>
      </c>
      <c r="Y3" s="20">
        <f>SUMIF('Nursery Formula'!C:C,B3,'Nursery Formula'!AQ:AQ)</f>
        <v>110950.23420000001</v>
      </c>
      <c r="Z3" s="20">
        <v>0</v>
      </c>
      <c r="AA3" s="222">
        <f t="shared" si="1"/>
        <v>1056058.7231568156</v>
      </c>
      <c r="AC3" s="20">
        <v>0</v>
      </c>
      <c r="AE3" s="20">
        <f t="shared" ref="AE3:AE66" si="4">C3+R3</f>
        <v>613584.38690903352</v>
      </c>
      <c r="AG3" s="20">
        <f>VLOOKUP($B3,Rates!$B:$F,5,FALSE)</f>
        <v>-154.28</v>
      </c>
      <c r="AH3" s="20">
        <f>VLOOKUP($B3,Rates!$B:$F,4,FALSE)</f>
        <v>14205.36</v>
      </c>
    </row>
    <row r="4" spans="1:37" x14ac:dyDescent="0.2">
      <c r="A4" s="18" t="s">
        <v>155</v>
      </c>
      <c r="B4" s="216">
        <v>2442</v>
      </c>
      <c r="C4" s="20">
        <v>717967.1394000001</v>
      </c>
      <c r="D4" s="20">
        <v>191853.84313059773</v>
      </c>
      <c r="E4" s="20">
        <v>0</v>
      </c>
      <c r="F4" s="20">
        <v>0</v>
      </c>
      <c r="G4" s="20">
        <v>5755.2292823529524</v>
      </c>
      <c r="H4" s="20">
        <v>0</v>
      </c>
      <c r="I4" s="20">
        <v>100000</v>
      </c>
      <c r="J4" s="20">
        <v>0</v>
      </c>
      <c r="K4" s="20">
        <v>14051.08</v>
      </c>
      <c r="L4" s="20">
        <v>0</v>
      </c>
      <c r="M4" s="222">
        <v>0</v>
      </c>
      <c r="N4" s="222">
        <f t="shared" si="0"/>
        <v>1029627.2918129507</v>
      </c>
      <c r="O4" s="20">
        <v>32143.001653213985</v>
      </c>
      <c r="P4" s="20">
        <v>0</v>
      </c>
      <c r="Q4" s="222">
        <f t="shared" si="2"/>
        <v>1061770.2934661647</v>
      </c>
      <c r="R4" s="20">
        <v>-21465.943449205231</v>
      </c>
      <c r="S4" s="222">
        <f t="shared" si="3"/>
        <v>1040304.3500169595</v>
      </c>
      <c r="T4" s="20">
        <v>0</v>
      </c>
      <c r="U4" s="20">
        <v>226708.005</v>
      </c>
      <c r="V4" s="20">
        <v>2502</v>
      </c>
      <c r="W4" s="20">
        <v>5005</v>
      </c>
      <c r="X4" s="20">
        <v>0</v>
      </c>
      <c r="Y4" s="20">
        <f>SUMIF('Nursery Formula'!C:C,B4,'Nursery Formula'!AQ:AQ)</f>
        <v>0</v>
      </c>
      <c r="Z4" s="20">
        <v>0</v>
      </c>
      <c r="AA4" s="222">
        <f t="shared" si="1"/>
        <v>1274519.3550169594</v>
      </c>
      <c r="AC4" s="20">
        <v>0</v>
      </c>
      <c r="AE4" s="20">
        <f t="shared" si="4"/>
        <v>696501.19595079485</v>
      </c>
      <c r="AG4" s="20">
        <f>VLOOKUP($B4,Rates!$B:$F,5,FALSE)</f>
        <v>-154.28</v>
      </c>
      <c r="AH4" s="20">
        <f>VLOOKUP($B4,Rates!$B:$F,4,FALSE)</f>
        <v>14205.36</v>
      </c>
    </row>
    <row r="5" spans="1:37" x14ac:dyDescent="0.2">
      <c r="A5" s="18" t="s">
        <v>47</v>
      </c>
      <c r="B5" s="216">
        <v>2629</v>
      </c>
      <c r="C5" s="20">
        <v>979268.10510000016</v>
      </c>
      <c r="D5" s="20">
        <v>326948.89678145153</v>
      </c>
      <c r="E5" s="20">
        <v>0</v>
      </c>
      <c r="F5" s="20">
        <v>0</v>
      </c>
      <c r="G5" s="20">
        <v>185092.6278072726</v>
      </c>
      <c r="H5" s="20">
        <v>30096.60264039418</v>
      </c>
      <c r="I5" s="20">
        <v>100000</v>
      </c>
      <c r="J5" s="20">
        <v>0</v>
      </c>
      <c r="K5" s="20">
        <v>51396.38</v>
      </c>
      <c r="L5" s="20">
        <v>0</v>
      </c>
      <c r="M5" s="222">
        <v>0</v>
      </c>
      <c r="N5" s="222">
        <f t="shared" si="0"/>
        <v>1672802.6123291184</v>
      </c>
      <c r="O5" s="20">
        <v>97124.948498919839</v>
      </c>
      <c r="P5" s="20">
        <v>0</v>
      </c>
      <c r="Q5" s="222">
        <f t="shared" si="2"/>
        <v>1769927.5608280383</v>
      </c>
      <c r="R5" s="20">
        <v>-29278.378650106457</v>
      </c>
      <c r="S5" s="222">
        <f t="shared" si="3"/>
        <v>1740649.1821779318</v>
      </c>
      <c r="T5" s="20">
        <v>39765</v>
      </c>
      <c r="U5" s="20">
        <v>99429.55</v>
      </c>
      <c r="V5" s="20">
        <v>0</v>
      </c>
      <c r="W5" s="20">
        <v>0</v>
      </c>
      <c r="X5" s="20">
        <v>0</v>
      </c>
      <c r="Y5" s="20">
        <f>SUMIF('Nursery Formula'!C:C,B5,'Nursery Formula'!AQ:AQ)</f>
        <v>187329.4142</v>
      </c>
      <c r="Z5" s="20">
        <v>0</v>
      </c>
      <c r="AA5" s="222">
        <f t="shared" si="1"/>
        <v>2067173.1463779318</v>
      </c>
      <c r="AC5" s="20">
        <v>0</v>
      </c>
      <c r="AE5" s="20">
        <f t="shared" si="4"/>
        <v>949989.72644989367</v>
      </c>
      <c r="AG5" s="20">
        <f>VLOOKUP($B5,Rates!$B:$F,5,FALSE)</f>
        <v>11474.42</v>
      </c>
      <c r="AH5" s="20">
        <f>VLOOKUP($B5,Rates!$B:$F,4,FALSE)</f>
        <v>39921.96</v>
      </c>
    </row>
    <row r="6" spans="1:37" x14ac:dyDescent="0.2">
      <c r="A6" s="18" t="s">
        <v>48</v>
      </c>
      <c r="B6" s="216">
        <v>2509</v>
      </c>
      <c r="C6" s="20">
        <v>459108.23880000005</v>
      </c>
      <c r="D6" s="20">
        <v>98138.481181471579</v>
      </c>
      <c r="E6" s="20">
        <v>3975.07405625</v>
      </c>
      <c r="F6" s="20">
        <v>0</v>
      </c>
      <c r="G6" s="20">
        <v>22840.697229629579</v>
      </c>
      <c r="H6" s="20">
        <v>12236.735999999961</v>
      </c>
      <c r="I6" s="20">
        <v>100000</v>
      </c>
      <c r="J6" s="20">
        <v>0</v>
      </c>
      <c r="K6" s="20">
        <v>13203.17</v>
      </c>
      <c r="L6" s="20">
        <v>0</v>
      </c>
      <c r="M6" s="222">
        <v>0</v>
      </c>
      <c r="N6" s="222">
        <f t="shared" si="0"/>
        <v>709502.39726735128</v>
      </c>
      <c r="O6" s="20">
        <v>7111.685431821621</v>
      </c>
      <c r="P6" s="20">
        <v>0</v>
      </c>
      <c r="Q6" s="222">
        <f t="shared" si="2"/>
        <v>716614.0826991729</v>
      </c>
      <c r="R6" s="20">
        <v>-13726.521661396544</v>
      </c>
      <c r="S6" s="222">
        <f t="shared" si="3"/>
        <v>702887.56103777641</v>
      </c>
      <c r="T6" s="20">
        <v>11604</v>
      </c>
      <c r="U6" s="20">
        <v>0</v>
      </c>
      <c r="V6" s="20">
        <v>0</v>
      </c>
      <c r="W6" s="20">
        <v>0</v>
      </c>
      <c r="X6" s="20">
        <v>0</v>
      </c>
      <c r="Y6" s="20">
        <f>SUMIF('Nursery Formula'!C:C,B6,'Nursery Formula'!AQ:AQ)</f>
        <v>0</v>
      </c>
      <c r="Z6" s="20">
        <v>0</v>
      </c>
      <c r="AA6" s="222">
        <f t="shared" si="1"/>
        <v>714491.56103777641</v>
      </c>
      <c r="AC6" s="20">
        <v>0</v>
      </c>
      <c r="AE6" s="20">
        <f t="shared" si="4"/>
        <v>445381.7171386035</v>
      </c>
      <c r="AG6" s="20">
        <f>VLOOKUP($B6,Rates!$B:$F,5,FALSE)</f>
        <v>-144.97</v>
      </c>
      <c r="AH6" s="20">
        <f>VLOOKUP($B6,Rates!$B:$F,4,FALSE)</f>
        <v>13348.14</v>
      </c>
    </row>
    <row r="7" spans="1:37" x14ac:dyDescent="0.2">
      <c r="A7" s="18" t="s">
        <v>49</v>
      </c>
      <c r="B7" s="216">
        <v>2005</v>
      </c>
      <c r="C7" s="20">
        <v>732619.53</v>
      </c>
      <c r="D7" s="20">
        <v>265695.97487399937</v>
      </c>
      <c r="E7" s="20">
        <v>2706.4333999999999</v>
      </c>
      <c r="F7" s="20">
        <v>0</v>
      </c>
      <c r="G7" s="20">
        <v>17668.997489878544</v>
      </c>
      <c r="H7" s="20">
        <v>8397.7599999998802</v>
      </c>
      <c r="I7" s="20">
        <v>100000</v>
      </c>
      <c r="J7" s="20">
        <v>0</v>
      </c>
      <c r="K7" s="20">
        <v>15262.38</v>
      </c>
      <c r="L7" s="20">
        <v>0</v>
      </c>
      <c r="M7" s="222">
        <v>0</v>
      </c>
      <c r="N7" s="222">
        <f t="shared" si="0"/>
        <v>1142351.0757638777</v>
      </c>
      <c r="O7" s="20">
        <v>12039.253573888564</v>
      </c>
      <c r="P7" s="20">
        <v>0</v>
      </c>
      <c r="Q7" s="222">
        <f t="shared" si="2"/>
        <v>1154390.3293377664</v>
      </c>
      <c r="R7" s="20">
        <v>-21904.023927760441</v>
      </c>
      <c r="S7" s="222">
        <f t="shared" si="3"/>
        <v>1132486.3054100059</v>
      </c>
      <c r="T7" s="20">
        <v>21557</v>
      </c>
      <c r="U7" s="20">
        <v>0</v>
      </c>
      <c r="V7" s="20">
        <v>0</v>
      </c>
      <c r="W7" s="20">
        <v>0</v>
      </c>
      <c r="X7" s="20">
        <v>0</v>
      </c>
      <c r="Y7" s="20">
        <f>SUMIF('Nursery Formula'!C:C,B7,'Nursery Formula'!AQ:AQ)</f>
        <v>0</v>
      </c>
      <c r="Z7" s="20">
        <v>0</v>
      </c>
      <c r="AA7" s="222">
        <f t="shared" si="1"/>
        <v>1154043.3054100059</v>
      </c>
      <c r="AC7" s="20">
        <v>0</v>
      </c>
      <c r="AE7" s="20">
        <f t="shared" si="4"/>
        <v>710715.5060722396</v>
      </c>
      <c r="AG7" s="20">
        <f>VLOOKUP($B7,Rates!$B:$F,5,FALSE)</f>
        <v>-167.58</v>
      </c>
      <c r="AH7" s="20">
        <f>VLOOKUP($B7,Rates!$B:$F,4,FALSE)</f>
        <v>15429.96</v>
      </c>
    </row>
    <row r="8" spans="1:37" x14ac:dyDescent="0.2">
      <c r="A8" s="18" t="s">
        <v>50</v>
      </c>
      <c r="B8" s="216">
        <v>2464</v>
      </c>
      <c r="C8" s="20">
        <v>454224.10860000004</v>
      </c>
      <c r="D8" s="20">
        <v>94618.452167525829</v>
      </c>
      <c r="E8" s="20">
        <v>1471.9199192982453</v>
      </c>
      <c r="F8" s="20">
        <v>0</v>
      </c>
      <c r="G8" s="20">
        <v>1026.8805600000005</v>
      </c>
      <c r="H8" s="20">
        <v>0</v>
      </c>
      <c r="I8" s="20">
        <v>100000</v>
      </c>
      <c r="J8" s="20">
        <v>0</v>
      </c>
      <c r="K8" s="20">
        <v>12839.78</v>
      </c>
      <c r="L8" s="20">
        <v>0</v>
      </c>
      <c r="M8" s="222">
        <v>0</v>
      </c>
      <c r="N8" s="222">
        <f t="shared" si="0"/>
        <v>664181.14124682406</v>
      </c>
      <c r="O8" s="20">
        <v>70529.332186738728</v>
      </c>
      <c r="P8" s="20">
        <v>0</v>
      </c>
      <c r="Q8" s="222">
        <f t="shared" si="2"/>
        <v>734710.47343356279</v>
      </c>
      <c r="R8" s="20">
        <v>-13580.494835211473</v>
      </c>
      <c r="S8" s="222">
        <f t="shared" si="3"/>
        <v>721129.97859835136</v>
      </c>
      <c r="T8" s="20">
        <v>5000</v>
      </c>
      <c r="U8" s="20">
        <v>0</v>
      </c>
      <c r="V8" s="20">
        <v>0</v>
      </c>
      <c r="W8" s="20">
        <v>0</v>
      </c>
      <c r="X8" s="20">
        <v>0</v>
      </c>
      <c r="Y8" s="20">
        <f>SUMIF('Nursery Formula'!C:C,B8,'Nursery Formula'!AQ:AQ)</f>
        <v>87433.763599999991</v>
      </c>
      <c r="Z8" s="20">
        <v>0</v>
      </c>
      <c r="AA8" s="222">
        <f t="shared" si="1"/>
        <v>813563.7421983513</v>
      </c>
      <c r="AC8" s="20">
        <v>0</v>
      </c>
      <c r="AE8" s="20">
        <f t="shared" si="4"/>
        <v>440643.61376478855</v>
      </c>
      <c r="AG8" s="20">
        <f>VLOOKUP($B8,Rates!$B:$F,5,FALSE)</f>
        <v>-140.97999999999999</v>
      </c>
      <c r="AH8" s="20">
        <f>VLOOKUP($B8,Rates!$B:$F,4,FALSE)</f>
        <v>12980.76</v>
      </c>
    </row>
    <row r="9" spans="1:37" x14ac:dyDescent="0.2">
      <c r="A9" s="18" t="s">
        <v>51</v>
      </c>
      <c r="B9" s="216">
        <v>2004</v>
      </c>
      <c r="C9" s="20">
        <v>647147.25150000001</v>
      </c>
      <c r="D9" s="20">
        <v>346597.0785961824</v>
      </c>
      <c r="E9" s="20">
        <v>2903.6633643724695</v>
      </c>
      <c r="F9" s="20">
        <v>0</v>
      </c>
      <c r="G9" s="20">
        <v>3135.0616175115142</v>
      </c>
      <c r="H9" s="20">
        <v>8997.6000000000513</v>
      </c>
      <c r="I9" s="20">
        <v>100000</v>
      </c>
      <c r="J9" s="20">
        <v>0</v>
      </c>
      <c r="K9" s="20">
        <v>15262.38</v>
      </c>
      <c r="L9" s="20">
        <v>0</v>
      </c>
      <c r="M9" s="222">
        <v>0</v>
      </c>
      <c r="N9" s="222">
        <f t="shared" si="0"/>
        <v>1124043.0350780664</v>
      </c>
      <c r="O9" s="20">
        <v>103256.66513460281</v>
      </c>
      <c r="P9" s="20">
        <v>0</v>
      </c>
      <c r="Q9" s="222">
        <f t="shared" si="2"/>
        <v>1227299.7002126691</v>
      </c>
      <c r="R9" s="20">
        <v>-19348.554469521725</v>
      </c>
      <c r="S9" s="222">
        <f t="shared" si="3"/>
        <v>1207951.1457431475</v>
      </c>
      <c r="T9" s="20">
        <v>29812</v>
      </c>
      <c r="U9" s="20">
        <v>0</v>
      </c>
      <c r="V9" s="20">
        <v>0</v>
      </c>
      <c r="W9" s="20">
        <v>0</v>
      </c>
      <c r="X9" s="20">
        <v>0</v>
      </c>
      <c r="Y9" s="20">
        <f>SUMIF('Nursery Formula'!C:C,B9,'Nursery Formula'!AQ:AQ)</f>
        <v>55852.588000000018</v>
      </c>
      <c r="Z9" s="20">
        <v>0</v>
      </c>
      <c r="AA9" s="222">
        <f t="shared" si="1"/>
        <v>1293615.7337431475</v>
      </c>
      <c r="AC9" s="20">
        <v>0</v>
      </c>
      <c r="AE9" s="20">
        <f t="shared" si="4"/>
        <v>627798.69703047827</v>
      </c>
      <c r="AG9" s="20">
        <f>VLOOKUP($B9,Rates!$B:$F,5,FALSE)</f>
        <v>-167.58</v>
      </c>
      <c r="AH9" s="20">
        <f>VLOOKUP($B9,Rates!$B:$F,4,FALSE)</f>
        <v>15429.96</v>
      </c>
    </row>
    <row r="10" spans="1:37" x14ac:dyDescent="0.2">
      <c r="A10" s="18" t="s">
        <v>52</v>
      </c>
      <c r="B10" s="216">
        <v>2405</v>
      </c>
      <c r="C10" s="20">
        <v>478644.75960000005</v>
      </c>
      <c r="D10" s="20">
        <v>191359.1351975131</v>
      </c>
      <c r="E10" s="20">
        <v>1403.335837037037</v>
      </c>
      <c r="F10" s="20">
        <v>0</v>
      </c>
      <c r="G10" s="20">
        <v>39233.643228070214</v>
      </c>
      <c r="H10" s="20">
        <v>7915.5123960396832</v>
      </c>
      <c r="I10" s="20">
        <v>100000</v>
      </c>
      <c r="J10" s="20">
        <v>0</v>
      </c>
      <c r="K10" s="20">
        <v>13324.300000000001</v>
      </c>
      <c r="L10" s="20">
        <v>0</v>
      </c>
      <c r="M10" s="222">
        <v>0</v>
      </c>
      <c r="N10" s="222">
        <f t="shared" si="0"/>
        <v>831880.68625866016</v>
      </c>
      <c r="O10" s="20">
        <v>20330.559647954418</v>
      </c>
      <c r="P10" s="20">
        <v>0</v>
      </c>
      <c r="Q10" s="222">
        <f t="shared" si="2"/>
        <v>852211.24590661458</v>
      </c>
      <c r="R10" s="20">
        <v>-14310.628966136821</v>
      </c>
      <c r="S10" s="222">
        <f t="shared" si="3"/>
        <v>837900.61694047775</v>
      </c>
      <c r="T10" s="20">
        <v>5000</v>
      </c>
      <c r="U10" s="20">
        <v>115515.58500000001</v>
      </c>
      <c r="V10" s="20">
        <v>13514</v>
      </c>
      <c r="W10" s="20">
        <v>0</v>
      </c>
      <c r="X10" s="20">
        <v>0</v>
      </c>
      <c r="Y10" s="20">
        <f>SUMIF('Nursery Formula'!C:C,B10,'Nursery Formula'!AQ:AQ)</f>
        <v>90845.2984</v>
      </c>
      <c r="Z10" s="20">
        <v>0</v>
      </c>
      <c r="AA10" s="222">
        <f t="shared" si="1"/>
        <v>1062775.5003404778</v>
      </c>
      <c r="AC10" s="20">
        <v>0</v>
      </c>
      <c r="AE10" s="20">
        <f t="shared" si="4"/>
        <v>464334.13063386321</v>
      </c>
      <c r="AG10" s="20">
        <f>VLOOKUP($B10,Rates!$B:$F,5,FALSE)</f>
        <v>-146.30000000000001</v>
      </c>
      <c r="AH10" s="20">
        <f>VLOOKUP($B10,Rates!$B:$F,4,FALSE)</f>
        <v>13470.6</v>
      </c>
    </row>
    <row r="11" spans="1:37" x14ac:dyDescent="0.2">
      <c r="A11" s="18" t="s">
        <v>156</v>
      </c>
      <c r="B11" s="216">
        <v>3525</v>
      </c>
      <c r="C11" s="20">
        <v>510391.60590000008</v>
      </c>
      <c r="D11" s="20">
        <v>127518.86069797153</v>
      </c>
      <c r="E11" s="20">
        <v>0</v>
      </c>
      <c r="F11" s="20">
        <v>0</v>
      </c>
      <c r="G11" s="20">
        <v>12988.987344134086</v>
      </c>
      <c r="H11" s="20">
        <v>0</v>
      </c>
      <c r="I11" s="20">
        <v>100000</v>
      </c>
      <c r="J11" s="20">
        <v>0</v>
      </c>
      <c r="K11" s="20">
        <v>5457.4500000000007</v>
      </c>
      <c r="L11" s="20">
        <v>0</v>
      </c>
      <c r="M11" s="222">
        <v>0</v>
      </c>
      <c r="N11" s="222">
        <f t="shared" si="0"/>
        <v>756356.90394210571</v>
      </c>
      <c r="O11" s="20">
        <v>34864.571065303404</v>
      </c>
      <c r="P11" s="20">
        <v>0</v>
      </c>
      <c r="Q11" s="222">
        <f t="shared" si="2"/>
        <v>791221.47500740911</v>
      </c>
      <c r="R11" s="20">
        <v>-15259.803336339774</v>
      </c>
      <c r="S11" s="222">
        <f t="shared" si="3"/>
        <v>775961.67167106934</v>
      </c>
      <c r="T11" s="20">
        <v>5000</v>
      </c>
      <c r="U11" s="20">
        <v>0</v>
      </c>
      <c r="V11" s="20">
        <v>28530</v>
      </c>
      <c r="W11" s="20">
        <v>0</v>
      </c>
      <c r="X11" s="20">
        <v>0</v>
      </c>
      <c r="Y11" s="20">
        <f>SUMIF('Nursery Formula'!C:C,B11,'Nursery Formula'!AQ:AQ)</f>
        <v>72957.819400000008</v>
      </c>
      <c r="Z11" s="20">
        <v>0</v>
      </c>
      <c r="AA11" s="222">
        <f t="shared" si="1"/>
        <v>882449.49107106938</v>
      </c>
      <c r="AC11" s="20">
        <v>0</v>
      </c>
      <c r="AE11" s="20">
        <f t="shared" si="4"/>
        <v>495131.80256366031</v>
      </c>
      <c r="AG11" s="20">
        <f>VLOOKUP($B11,Rates!$B:$F,5,FALSE)</f>
        <v>167.18</v>
      </c>
      <c r="AH11" s="20">
        <f>VLOOKUP($B11,Rates!$B:$F,4,FALSE)</f>
        <v>5290.27</v>
      </c>
    </row>
    <row r="12" spans="1:37" x14ac:dyDescent="0.2">
      <c r="A12" s="18" t="s">
        <v>54</v>
      </c>
      <c r="B12" s="216">
        <v>5201</v>
      </c>
      <c r="C12" s="20">
        <v>957289.5192000001</v>
      </c>
      <c r="D12" s="20">
        <v>81880.593081454688</v>
      </c>
      <c r="E12" s="20">
        <v>0</v>
      </c>
      <c r="F12" s="20">
        <v>0</v>
      </c>
      <c r="G12" s="20">
        <v>0</v>
      </c>
      <c r="H12" s="20">
        <v>0</v>
      </c>
      <c r="I12" s="20">
        <v>100000</v>
      </c>
      <c r="J12" s="20">
        <v>0</v>
      </c>
      <c r="K12" s="20">
        <v>82481.600000000006</v>
      </c>
      <c r="L12" s="20">
        <v>0</v>
      </c>
      <c r="M12" s="222">
        <v>0</v>
      </c>
      <c r="N12" s="222">
        <f t="shared" si="0"/>
        <v>1221651.7122814548</v>
      </c>
      <c r="O12" s="20">
        <v>57710.725472756545</v>
      </c>
      <c r="P12" s="20">
        <v>0</v>
      </c>
      <c r="Q12" s="222">
        <f t="shared" si="2"/>
        <v>1279362.4377542115</v>
      </c>
      <c r="R12" s="20">
        <v>-28621.257932273642</v>
      </c>
      <c r="S12" s="222">
        <f t="shared" si="3"/>
        <v>1250741.1798219378</v>
      </c>
      <c r="T12" s="20">
        <v>48020</v>
      </c>
      <c r="U12" s="20">
        <v>0</v>
      </c>
      <c r="V12" s="20">
        <v>22524</v>
      </c>
      <c r="W12" s="20">
        <v>0</v>
      </c>
      <c r="X12" s="20">
        <v>0</v>
      </c>
      <c r="Y12" s="20">
        <f>SUMIF('Nursery Formula'!C:C,B12,'Nursery Formula'!AQ:AQ)</f>
        <v>119427.97420000001</v>
      </c>
      <c r="Z12" s="20">
        <v>0</v>
      </c>
      <c r="AA12" s="222">
        <f t="shared" si="1"/>
        <v>1440713.1540219379</v>
      </c>
      <c r="AC12" s="20">
        <v>0</v>
      </c>
      <c r="AE12" s="20">
        <f t="shared" si="4"/>
        <v>928668.26126772643</v>
      </c>
      <c r="AG12" s="20">
        <f>VLOOKUP($B12,Rates!$B:$F,5,FALSE)</f>
        <v>62153.24</v>
      </c>
      <c r="AH12" s="20">
        <f>VLOOKUP($B12,Rates!$B:$F,4,FALSE)</f>
        <v>20328.36</v>
      </c>
    </row>
    <row r="13" spans="1:37" x14ac:dyDescent="0.2">
      <c r="A13" s="18" t="s">
        <v>157</v>
      </c>
      <c r="B13" s="216">
        <v>2007</v>
      </c>
      <c r="C13" s="20">
        <v>632494.86090000009</v>
      </c>
      <c r="D13" s="20">
        <v>275514.37990837148</v>
      </c>
      <c r="E13" s="20">
        <v>2826.4768169354838</v>
      </c>
      <c r="F13" s="20">
        <v>0</v>
      </c>
      <c r="G13" s="20">
        <v>34566.935058715688</v>
      </c>
      <c r="H13" s="20">
        <v>0</v>
      </c>
      <c r="I13" s="20">
        <v>100000</v>
      </c>
      <c r="J13" s="20">
        <v>0</v>
      </c>
      <c r="K13" s="20">
        <v>2851.55</v>
      </c>
      <c r="L13" s="20">
        <v>0</v>
      </c>
      <c r="M13" s="222">
        <v>0</v>
      </c>
      <c r="N13" s="222">
        <f t="shared" si="0"/>
        <v>1048254.2026840227</v>
      </c>
      <c r="O13" s="20">
        <v>13528.549190416234</v>
      </c>
      <c r="P13" s="20">
        <v>0</v>
      </c>
      <c r="Q13" s="222">
        <f t="shared" si="2"/>
        <v>1061782.751874439</v>
      </c>
      <c r="R13" s="20">
        <v>0</v>
      </c>
      <c r="S13" s="222">
        <f t="shared" si="3"/>
        <v>1061782.751874439</v>
      </c>
      <c r="T13" s="20">
        <v>44671</v>
      </c>
      <c r="U13" s="20">
        <v>0</v>
      </c>
      <c r="V13" s="20">
        <v>19520</v>
      </c>
      <c r="W13" s="20">
        <v>0</v>
      </c>
      <c r="X13" s="20">
        <v>0</v>
      </c>
      <c r="Y13" s="20">
        <f>SUMIF('Nursery Formula'!C:C,B13,'Nursery Formula'!AQ:AQ)</f>
        <v>92042.196268399988</v>
      </c>
      <c r="Z13" s="20">
        <v>0</v>
      </c>
      <c r="AA13" s="222">
        <f t="shared" si="1"/>
        <v>1218015.9481428389</v>
      </c>
      <c r="AC13" s="20">
        <v>0</v>
      </c>
      <c r="AE13" s="20">
        <f t="shared" si="4"/>
        <v>632494.86090000009</v>
      </c>
      <c r="AG13" s="20">
        <f>VLOOKUP($B13,Rates!$B:$F,5,FALSE)</f>
        <v>-111.98</v>
      </c>
      <c r="AH13" s="20">
        <f>VLOOKUP($B13,Rates!$B:$F,4,FALSE)</f>
        <v>2963.53</v>
      </c>
    </row>
    <row r="14" spans="1:37" x14ac:dyDescent="0.2">
      <c r="A14" s="18" t="s">
        <v>56</v>
      </c>
      <c r="B14" s="216">
        <v>2433</v>
      </c>
      <c r="C14" s="20">
        <v>412709.00190000003</v>
      </c>
      <c r="D14" s="20">
        <v>124310.8926920931</v>
      </c>
      <c r="E14" s="20">
        <v>0</v>
      </c>
      <c r="F14" s="20">
        <v>0</v>
      </c>
      <c r="G14" s="20">
        <v>11387.323795275595</v>
      </c>
      <c r="H14" s="20">
        <v>0</v>
      </c>
      <c r="I14" s="20">
        <v>100000</v>
      </c>
      <c r="J14" s="20">
        <v>0</v>
      </c>
      <c r="K14" s="20">
        <v>8115.46</v>
      </c>
      <c r="L14" s="20">
        <v>0</v>
      </c>
      <c r="M14" s="222">
        <v>0</v>
      </c>
      <c r="N14" s="222">
        <f t="shared" si="0"/>
        <v>656522.67838736868</v>
      </c>
      <c r="O14" s="20">
        <v>88082.774691791274</v>
      </c>
      <c r="P14" s="20">
        <v>0</v>
      </c>
      <c r="Q14" s="222">
        <f t="shared" si="2"/>
        <v>744605.45307915995</v>
      </c>
      <c r="R14" s="20">
        <v>-12339.266812638381</v>
      </c>
      <c r="S14" s="222">
        <f t="shared" si="3"/>
        <v>732266.18626652157</v>
      </c>
      <c r="T14" s="20">
        <v>61228</v>
      </c>
      <c r="U14" s="20">
        <v>399062.44500000001</v>
      </c>
      <c r="V14" s="20">
        <v>0</v>
      </c>
      <c r="W14" s="20">
        <v>0</v>
      </c>
      <c r="X14" s="20">
        <v>0</v>
      </c>
      <c r="Y14" s="20">
        <f>SUMIF('Nursery Formula'!C:C,B14,'Nursery Formula'!AQ:AQ)</f>
        <v>105957.31700000001</v>
      </c>
      <c r="Z14" s="20">
        <v>0</v>
      </c>
      <c r="AA14" s="222">
        <f t="shared" si="1"/>
        <v>1298513.9482665216</v>
      </c>
      <c r="AC14" s="20">
        <v>0</v>
      </c>
      <c r="AE14" s="20">
        <f t="shared" si="4"/>
        <v>400369.73508736165</v>
      </c>
      <c r="AG14" s="20">
        <f>VLOOKUP($B14,Rates!$B:$F,5,FALSE)</f>
        <v>-89.36</v>
      </c>
      <c r="AH14" s="20">
        <f>VLOOKUP($B14,Rates!$B:$F,4,FALSE)</f>
        <v>8204.82</v>
      </c>
    </row>
    <row r="15" spans="1:37" x14ac:dyDescent="0.2">
      <c r="A15" s="18" t="s">
        <v>57</v>
      </c>
      <c r="B15" s="216">
        <v>2432</v>
      </c>
      <c r="C15" s="20">
        <v>485970.95490000007</v>
      </c>
      <c r="D15" s="20">
        <v>161063.39271293581</v>
      </c>
      <c r="E15" s="20">
        <v>2262.9422126050417</v>
      </c>
      <c r="F15" s="20">
        <v>0</v>
      </c>
      <c r="G15" s="20">
        <v>737.19058961038968</v>
      </c>
      <c r="H15" s="20">
        <v>0</v>
      </c>
      <c r="I15" s="20">
        <v>100000</v>
      </c>
      <c r="J15" s="20">
        <v>0</v>
      </c>
      <c r="K15" s="20">
        <v>8116.46</v>
      </c>
      <c r="L15" s="20">
        <v>0</v>
      </c>
      <c r="M15" s="222">
        <v>0</v>
      </c>
      <c r="N15" s="222">
        <f t="shared" si="0"/>
        <v>758150.94041515118</v>
      </c>
      <c r="O15" s="20">
        <v>56564.929774547927</v>
      </c>
      <c r="P15" s="20">
        <v>0</v>
      </c>
      <c r="Q15" s="222">
        <f t="shared" si="2"/>
        <v>814715.87018969911</v>
      </c>
      <c r="R15" s="20">
        <v>-14529.669205414426</v>
      </c>
      <c r="S15" s="222">
        <f t="shared" si="3"/>
        <v>800186.20098428463</v>
      </c>
      <c r="T15" s="20">
        <v>0</v>
      </c>
      <c r="U15" s="20">
        <v>722421.32499999995</v>
      </c>
      <c r="V15" s="20">
        <v>0</v>
      </c>
      <c r="W15" s="20">
        <v>0</v>
      </c>
      <c r="X15" s="20">
        <v>0</v>
      </c>
      <c r="Y15" s="20">
        <f>SUMIF('Nursery Formula'!C:C,B15,'Nursery Formula'!AQ:AQ)</f>
        <v>0</v>
      </c>
      <c r="Z15" s="20">
        <v>0</v>
      </c>
      <c r="AA15" s="222">
        <f t="shared" si="1"/>
        <v>1522607.5259842845</v>
      </c>
      <c r="AC15" s="20">
        <v>11588.525</v>
      </c>
      <c r="AE15" s="20">
        <f t="shared" si="4"/>
        <v>471441.28569458565</v>
      </c>
      <c r="AG15" s="20">
        <f>VLOOKUP($B15,Rates!$B:$F,5,FALSE)</f>
        <v>-88.36</v>
      </c>
      <c r="AH15" s="20">
        <f>VLOOKUP($B15,Rates!$B:$F,4,FALSE)</f>
        <v>8204.82</v>
      </c>
    </row>
    <row r="16" spans="1:37" s="20" customFormat="1" x14ac:dyDescent="0.2">
      <c r="A16" s="18" t="s">
        <v>461</v>
      </c>
      <c r="B16" s="216">
        <v>2447</v>
      </c>
      <c r="C16" s="20">
        <v>981710.17020000005</v>
      </c>
      <c r="D16" s="20">
        <v>259346.43139420176</v>
      </c>
      <c r="E16" s="20">
        <v>2850.5730234335842</v>
      </c>
      <c r="F16" s="20">
        <v>0</v>
      </c>
      <c r="G16" s="20">
        <v>21370.825689473681</v>
      </c>
      <c r="H16" s="20">
        <v>0</v>
      </c>
      <c r="I16" s="20">
        <v>170000</v>
      </c>
      <c r="J16" s="20">
        <v>0</v>
      </c>
      <c r="K16" s="20">
        <v>17927.240000000002</v>
      </c>
      <c r="L16" s="20">
        <v>0</v>
      </c>
      <c r="M16" s="222">
        <v>0</v>
      </c>
      <c r="N16" s="222">
        <f t="shared" si="0"/>
        <v>1453205.240307109</v>
      </c>
      <c r="O16" s="20">
        <v>151714.80948802875</v>
      </c>
      <c r="P16" s="20">
        <v>0</v>
      </c>
      <c r="Q16" s="222">
        <f t="shared" si="2"/>
        <v>1604920.0497951377</v>
      </c>
      <c r="R16" s="20">
        <v>-29351.392063198989</v>
      </c>
      <c r="S16" s="222">
        <f t="shared" si="3"/>
        <v>1575568.6577319386</v>
      </c>
      <c r="T16" s="20">
        <v>59577</v>
      </c>
      <c r="U16" s="20">
        <v>0</v>
      </c>
      <c r="V16" s="20">
        <v>11562</v>
      </c>
      <c r="W16" s="20">
        <v>0</v>
      </c>
      <c r="X16" s="20">
        <v>0</v>
      </c>
      <c r="Y16" s="20">
        <f>SUMIF('Nursery Formula'!C:C,B16,'Nursery Formula'!AQ:AQ)</f>
        <v>121347.05760000001</v>
      </c>
      <c r="Z16" s="20">
        <v>0</v>
      </c>
      <c r="AA16" s="222">
        <f t="shared" si="1"/>
        <v>1768054.7153319386</v>
      </c>
      <c r="AC16" s="20">
        <v>0</v>
      </c>
      <c r="AE16" s="20">
        <f t="shared" si="4"/>
        <v>952358.77813680109</v>
      </c>
      <c r="AG16" s="20">
        <f>VLOOKUP($B16,Rates!$B:$F,5,FALSE)</f>
        <v>-196.84</v>
      </c>
      <c r="AH16" s="20">
        <f>VLOOKUP($B16,Rates!$B:$F,4,FALSE)</f>
        <v>18124.080000000002</v>
      </c>
    </row>
    <row r="17" spans="1:34" s="20" customFormat="1" x14ac:dyDescent="0.2">
      <c r="A17" s="18" t="s">
        <v>60</v>
      </c>
      <c r="B17" s="216">
        <v>2512</v>
      </c>
      <c r="C17" s="20">
        <v>507949.54080000008</v>
      </c>
      <c r="D17" s="20">
        <v>43302.137080411623</v>
      </c>
      <c r="E17" s="20">
        <v>0</v>
      </c>
      <c r="F17" s="20">
        <v>0</v>
      </c>
      <c r="G17" s="20">
        <v>20881.816974301684</v>
      </c>
      <c r="H17" s="20">
        <v>0</v>
      </c>
      <c r="I17" s="20">
        <v>100000</v>
      </c>
      <c r="J17" s="20">
        <v>0</v>
      </c>
      <c r="K17" s="20">
        <v>15262.38</v>
      </c>
      <c r="L17" s="20">
        <v>0</v>
      </c>
      <c r="M17" s="222">
        <v>0</v>
      </c>
      <c r="N17" s="222">
        <f t="shared" si="0"/>
        <v>687395.87485471345</v>
      </c>
      <c r="O17" s="20">
        <v>20767.147543177358</v>
      </c>
      <c r="P17" s="20">
        <v>0</v>
      </c>
      <c r="Q17" s="222">
        <f t="shared" si="2"/>
        <v>708163.0223978908</v>
      </c>
      <c r="R17" s="20">
        <v>-15186.789923247239</v>
      </c>
      <c r="S17" s="222">
        <f t="shared" si="3"/>
        <v>692976.23247464362</v>
      </c>
      <c r="T17" s="20">
        <v>6651</v>
      </c>
      <c r="U17" s="20">
        <v>0</v>
      </c>
      <c r="V17" s="20">
        <v>25026</v>
      </c>
      <c r="W17" s="20">
        <v>12013</v>
      </c>
      <c r="X17" s="20">
        <v>0</v>
      </c>
      <c r="Y17" s="20">
        <f>SUMIF('Nursery Formula'!C:C,B17,'Nursery Formula'!AQ:AQ)</f>
        <v>48696.332399999999</v>
      </c>
      <c r="Z17" s="20">
        <v>0</v>
      </c>
      <c r="AA17" s="222">
        <f t="shared" si="1"/>
        <v>785362.56487464358</v>
      </c>
      <c r="AC17" s="20">
        <v>0</v>
      </c>
      <c r="AE17" s="20">
        <f t="shared" si="4"/>
        <v>492762.75087675283</v>
      </c>
      <c r="AG17" s="20">
        <f>VLOOKUP($B17,Rates!$B:$F,5,FALSE)</f>
        <v>-167.58</v>
      </c>
      <c r="AH17" s="20">
        <f>VLOOKUP($B17,Rates!$B:$F,4,FALSE)</f>
        <v>15429.96</v>
      </c>
    </row>
    <row r="18" spans="1:34" s="20" customFormat="1" x14ac:dyDescent="0.2">
      <c r="A18" s="18" t="s">
        <v>61</v>
      </c>
      <c r="B18" s="216">
        <v>2456</v>
      </c>
      <c r="C18" s="20">
        <v>434687.58780000004</v>
      </c>
      <c r="D18" s="20">
        <v>19136.909022791246</v>
      </c>
      <c r="E18" s="20">
        <v>1360.8619920903955</v>
      </c>
      <c r="F18" s="20">
        <v>0</v>
      </c>
      <c r="G18" s="20">
        <v>28398.758989830552</v>
      </c>
      <c r="H18" s="20">
        <v>0</v>
      </c>
      <c r="I18" s="20">
        <v>100000</v>
      </c>
      <c r="J18" s="20">
        <v>0</v>
      </c>
      <c r="K18" s="20">
        <v>9084.75</v>
      </c>
      <c r="L18" s="20">
        <v>0</v>
      </c>
      <c r="M18" s="222">
        <v>0</v>
      </c>
      <c r="N18" s="222">
        <f t="shared" si="0"/>
        <v>592668.86780471227</v>
      </c>
      <c r="O18" s="20">
        <v>10949.139543963945</v>
      </c>
      <c r="P18" s="20">
        <v>0</v>
      </c>
      <c r="Q18" s="222">
        <f t="shared" si="2"/>
        <v>603618.00734867621</v>
      </c>
      <c r="R18" s="20">
        <v>-12996.387530471195</v>
      </c>
      <c r="S18" s="222">
        <f t="shared" si="3"/>
        <v>590621.61981820501</v>
      </c>
      <c r="T18" s="20">
        <v>10000</v>
      </c>
      <c r="U18" s="20">
        <v>0</v>
      </c>
      <c r="V18" s="20">
        <v>6006</v>
      </c>
      <c r="W18" s="20">
        <v>0</v>
      </c>
      <c r="X18" s="20">
        <v>0</v>
      </c>
      <c r="Y18" s="20">
        <f>SUMIF('Nursery Formula'!C:C,B18,'Nursery Formula'!AQ:AQ)</f>
        <v>102627.65399999999</v>
      </c>
      <c r="Z18" s="20">
        <v>0</v>
      </c>
      <c r="AA18" s="222">
        <f t="shared" si="1"/>
        <v>709255.27381820499</v>
      </c>
      <c r="AC18" s="20">
        <v>0</v>
      </c>
      <c r="AE18" s="20">
        <f t="shared" si="4"/>
        <v>421691.20026952884</v>
      </c>
      <c r="AG18" s="20">
        <f>VLOOKUP($B18,Rates!$B:$F,5,FALSE)</f>
        <v>-99.75</v>
      </c>
      <c r="AH18" s="20">
        <f>VLOOKUP($B18,Rates!$B:$F,4,FALSE)</f>
        <v>9184.5</v>
      </c>
    </row>
    <row r="19" spans="1:34" s="20" customFormat="1" x14ac:dyDescent="0.2">
      <c r="A19" s="18" t="s">
        <v>62</v>
      </c>
      <c r="B19" s="216">
        <v>2449</v>
      </c>
      <c r="C19" s="20">
        <v>654473.44680000003</v>
      </c>
      <c r="D19" s="20">
        <v>121491.33610126089</v>
      </c>
      <c r="E19" s="20">
        <v>0</v>
      </c>
      <c r="F19" s="20">
        <v>0</v>
      </c>
      <c r="G19" s="20">
        <v>5153.6327730337189</v>
      </c>
      <c r="H19" s="20">
        <v>0</v>
      </c>
      <c r="I19" s="20">
        <v>100000</v>
      </c>
      <c r="J19" s="20">
        <v>0</v>
      </c>
      <c r="K19" s="20">
        <v>11749.61</v>
      </c>
      <c r="L19" s="20">
        <v>0</v>
      </c>
      <c r="M19" s="222">
        <v>0</v>
      </c>
      <c r="N19" s="222">
        <f t="shared" si="0"/>
        <v>892868.02567429456</v>
      </c>
      <c r="O19" s="20">
        <v>22526.038180557778</v>
      </c>
      <c r="P19" s="20">
        <v>0</v>
      </c>
      <c r="Q19" s="222">
        <f t="shared" si="2"/>
        <v>915394.06385485234</v>
      </c>
      <c r="R19" s="20">
        <v>-19567.594708799326</v>
      </c>
      <c r="S19" s="222">
        <f t="shared" si="3"/>
        <v>895826.46914605307</v>
      </c>
      <c r="T19" s="20">
        <v>15000</v>
      </c>
      <c r="U19" s="20">
        <v>0</v>
      </c>
      <c r="V19" s="20">
        <v>27028</v>
      </c>
      <c r="W19" s="20">
        <v>0</v>
      </c>
      <c r="X19" s="20">
        <v>0</v>
      </c>
      <c r="Y19" s="20">
        <f>SUMIF('Nursery Formula'!C:C,B19,'Nursery Formula'!AQ:AQ)</f>
        <v>161970.22520000004</v>
      </c>
      <c r="Z19" s="20">
        <v>0</v>
      </c>
      <c r="AA19" s="222">
        <f t="shared" si="1"/>
        <v>1099824.6943460531</v>
      </c>
      <c r="AC19" s="20">
        <v>0</v>
      </c>
      <c r="AE19" s="20">
        <f t="shared" si="4"/>
        <v>634905.85209120065</v>
      </c>
      <c r="AG19" s="20">
        <f>VLOOKUP($B19,Rates!$B:$F,5,FALSE)</f>
        <v>-129.01</v>
      </c>
      <c r="AH19" s="20">
        <f>VLOOKUP($B19,Rates!$B:$F,4,FALSE)</f>
        <v>11878.62</v>
      </c>
    </row>
    <row r="20" spans="1:34" s="20" customFormat="1" x14ac:dyDescent="0.2">
      <c r="A20" s="18" t="s">
        <v>63</v>
      </c>
      <c r="B20" s="216">
        <v>2448</v>
      </c>
      <c r="C20" s="20">
        <v>759482.24610000011</v>
      </c>
      <c r="D20" s="20">
        <v>165501.39554376242</v>
      </c>
      <c r="E20" s="20">
        <v>0</v>
      </c>
      <c r="F20" s="20">
        <v>0</v>
      </c>
      <c r="G20" s="20">
        <v>6009.4596212903161</v>
      </c>
      <c r="H20" s="20">
        <v>0</v>
      </c>
      <c r="I20" s="20">
        <v>100000</v>
      </c>
      <c r="J20" s="20">
        <v>0</v>
      </c>
      <c r="K20" s="20">
        <v>17321.59</v>
      </c>
      <c r="L20" s="20">
        <v>0</v>
      </c>
      <c r="M20" s="222">
        <v>0</v>
      </c>
      <c r="N20" s="222">
        <f t="shared" si="0"/>
        <v>1048314.6912650529</v>
      </c>
      <c r="O20" s="20">
        <v>0</v>
      </c>
      <c r="P20" s="20">
        <v>0</v>
      </c>
      <c r="Q20" s="222">
        <f t="shared" si="2"/>
        <v>1048314.6912650529</v>
      </c>
      <c r="R20" s="20">
        <v>-22707.171471778325</v>
      </c>
      <c r="S20" s="222">
        <f t="shared" si="3"/>
        <v>1025607.5197932746</v>
      </c>
      <c r="T20" s="20">
        <v>0</v>
      </c>
      <c r="U20" s="20">
        <v>0</v>
      </c>
      <c r="V20" s="20">
        <v>13514</v>
      </c>
      <c r="W20" s="20">
        <v>0</v>
      </c>
      <c r="X20" s="20">
        <v>0</v>
      </c>
      <c r="Y20" s="20">
        <f>SUMIF('Nursery Formula'!C:C,B20,'Nursery Formula'!AQ:AQ)</f>
        <v>0</v>
      </c>
      <c r="Z20" s="20">
        <v>0</v>
      </c>
      <c r="AA20" s="222">
        <f t="shared" si="1"/>
        <v>1039121.5197932746</v>
      </c>
      <c r="AC20" s="20">
        <v>0</v>
      </c>
      <c r="AE20" s="20">
        <f t="shared" si="4"/>
        <v>736775.0746282218</v>
      </c>
      <c r="AG20" s="20">
        <f>VLOOKUP($B20,Rates!$B:$F,5,FALSE)</f>
        <v>-190.19</v>
      </c>
      <c r="AH20" s="20">
        <f>VLOOKUP($B20,Rates!$B:$F,4,FALSE)</f>
        <v>17511.78</v>
      </c>
    </row>
    <row r="21" spans="1:34" s="20" customFormat="1" x14ac:dyDescent="0.2">
      <c r="A21" s="18" t="s">
        <v>193</v>
      </c>
      <c r="B21" s="216">
        <v>2467</v>
      </c>
      <c r="C21" s="20">
        <v>884027.56620000012</v>
      </c>
      <c r="D21" s="20">
        <v>170808.45263230253</v>
      </c>
      <c r="E21" s="20">
        <v>0</v>
      </c>
      <c r="F21" s="20">
        <v>0</v>
      </c>
      <c r="G21" s="20">
        <v>6054.2469498371402</v>
      </c>
      <c r="H21" s="20">
        <v>0</v>
      </c>
      <c r="I21" s="20">
        <v>100000</v>
      </c>
      <c r="J21" s="20">
        <v>0</v>
      </c>
      <c r="K21" s="20">
        <v>12960.91</v>
      </c>
      <c r="L21" s="20">
        <v>0</v>
      </c>
      <c r="M21" s="222">
        <v>0</v>
      </c>
      <c r="N21" s="222">
        <f t="shared" si="0"/>
        <v>1173851.1757821396</v>
      </c>
      <c r="O21" s="20">
        <v>126241.32234474574</v>
      </c>
      <c r="P21" s="20">
        <v>0</v>
      </c>
      <c r="Q21" s="222">
        <f t="shared" si="2"/>
        <v>1300092.4981268854</v>
      </c>
      <c r="R21" s="20">
        <v>-26430.855539497599</v>
      </c>
      <c r="S21" s="222">
        <f t="shared" si="3"/>
        <v>1273661.6425873877</v>
      </c>
      <c r="T21" s="20">
        <v>18255</v>
      </c>
      <c r="U21" s="20">
        <v>0</v>
      </c>
      <c r="V21" s="20">
        <v>2502</v>
      </c>
      <c r="W21" s="20">
        <v>0</v>
      </c>
      <c r="X21" s="20">
        <v>0</v>
      </c>
      <c r="Y21" s="20">
        <f>SUMIF('Nursery Formula'!C:C,B21,'Nursery Formula'!AQ:AQ)</f>
        <v>74623.806800000006</v>
      </c>
      <c r="Z21" s="20">
        <v>0</v>
      </c>
      <c r="AA21" s="222">
        <f t="shared" si="1"/>
        <v>1369042.4493873876</v>
      </c>
      <c r="AC21" s="20">
        <v>0</v>
      </c>
      <c r="AE21" s="20">
        <f t="shared" si="4"/>
        <v>857596.71066050255</v>
      </c>
      <c r="AG21" s="20">
        <f>VLOOKUP($B21,Rates!$B:$F,5,FALSE)</f>
        <v>-142.31</v>
      </c>
      <c r="AH21" s="20">
        <f>VLOOKUP($B21,Rates!$B:$F,4,FALSE)</f>
        <v>13103.22</v>
      </c>
    </row>
    <row r="22" spans="1:34" s="20" customFormat="1" x14ac:dyDescent="0.2">
      <c r="A22" s="18" t="s">
        <v>65</v>
      </c>
      <c r="B22" s="216">
        <v>2455</v>
      </c>
      <c r="C22" s="20">
        <v>866933.11050000007</v>
      </c>
      <c r="D22" s="20">
        <v>69584.029163722123</v>
      </c>
      <c r="E22" s="20">
        <v>2676.2781532033428</v>
      </c>
      <c r="F22" s="20">
        <v>0</v>
      </c>
      <c r="G22" s="20">
        <v>15189.274949999999</v>
      </c>
      <c r="H22" s="20">
        <v>0</v>
      </c>
      <c r="I22" s="20">
        <v>100000</v>
      </c>
      <c r="J22" s="20">
        <v>0</v>
      </c>
      <c r="K22" s="20">
        <v>25195.040000000001</v>
      </c>
      <c r="L22" s="20">
        <v>0</v>
      </c>
      <c r="M22" s="222">
        <v>0</v>
      </c>
      <c r="N22" s="222">
        <f t="shared" si="0"/>
        <v>1079577.7327669254</v>
      </c>
      <c r="O22" s="20">
        <v>36772.489611241734</v>
      </c>
      <c r="P22" s="20">
        <v>0</v>
      </c>
      <c r="Q22" s="222">
        <f t="shared" si="2"/>
        <v>1116350.2223781671</v>
      </c>
      <c r="R22" s="20">
        <v>-25919.761647849857</v>
      </c>
      <c r="S22" s="222">
        <f t="shared" si="3"/>
        <v>1090430.4607303173</v>
      </c>
      <c r="T22" s="20">
        <v>28255</v>
      </c>
      <c r="U22" s="20">
        <v>0</v>
      </c>
      <c r="V22" s="20">
        <v>0</v>
      </c>
      <c r="W22" s="20">
        <v>0</v>
      </c>
      <c r="X22" s="20">
        <v>0</v>
      </c>
      <c r="Y22" s="20">
        <f>SUMIF('Nursery Formula'!C:C,B22,'Nursery Formula'!AQ:AQ)</f>
        <v>0</v>
      </c>
      <c r="Z22" s="20">
        <v>0</v>
      </c>
      <c r="AA22" s="222">
        <f t="shared" si="1"/>
        <v>1118685.4607303173</v>
      </c>
      <c r="AC22" s="20">
        <v>0</v>
      </c>
      <c r="AE22" s="20">
        <f t="shared" si="4"/>
        <v>841013.34885215026</v>
      </c>
      <c r="AG22" s="20">
        <f>VLOOKUP($B22,Rates!$B:$F,5,FALSE)</f>
        <v>-276.64</v>
      </c>
      <c r="AH22" s="20">
        <f>VLOOKUP($B22,Rates!$B:$F,4,FALSE)</f>
        <v>25471.68</v>
      </c>
    </row>
    <row r="23" spans="1:34" s="20" customFormat="1" x14ac:dyDescent="0.2">
      <c r="A23" s="18" t="s">
        <v>66</v>
      </c>
      <c r="B23" s="216">
        <v>5203</v>
      </c>
      <c r="C23" s="20">
        <v>1172191.2480000001</v>
      </c>
      <c r="D23" s="20">
        <v>126820.54155920394</v>
      </c>
      <c r="E23" s="20">
        <v>1350.4033596673596</v>
      </c>
      <c r="F23" s="20">
        <v>0</v>
      </c>
      <c r="G23" s="20">
        <v>2610.7132881355928</v>
      </c>
      <c r="H23" s="20">
        <v>0</v>
      </c>
      <c r="I23" s="20">
        <v>100000</v>
      </c>
      <c r="J23" s="20">
        <v>0</v>
      </c>
      <c r="K23" s="20">
        <v>4901.91</v>
      </c>
      <c r="L23" s="20">
        <v>0</v>
      </c>
      <c r="M23" s="222">
        <v>0</v>
      </c>
      <c r="N23" s="222">
        <f t="shared" si="0"/>
        <v>1407874.816207007</v>
      </c>
      <c r="O23" s="20">
        <v>51137.428328502923</v>
      </c>
      <c r="P23" s="20">
        <v>0</v>
      </c>
      <c r="Q23" s="222">
        <f t="shared" si="2"/>
        <v>1459012.24453551</v>
      </c>
      <c r="R23" s="20">
        <v>-35046.438284416705</v>
      </c>
      <c r="S23" s="222">
        <f t="shared" si="3"/>
        <v>1423965.8062510933</v>
      </c>
      <c r="T23" s="20">
        <v>0</v>
      </c>
      <c r="U23" s="20">
        <v>0</v>
      </c>
      <c r="V23" s="20">
        <v>19520</v>
      </c>
      <c r="W23" s="20">
        <v>0</v>
      </c>
      <c r="X23" s="20">
        <v>0</v>
      </c>
      <c r="Y23" s="20">
        <f>SUMIF('Nursery Formula'!C:C,B23,'Nursery Formula'!AQ:AQ)</f>
        <v>0</v>
      </c>
      <c r="Z23" s="20">
        <v>0</v>
      </c>
      <c r="AA23" s="222">
        <f t="shared" si="1"/>
        <v>1443485.8062510933</v>
      </c>
      <c r="AC23" s="20">
        <v>0</v>
      </c>
      <c r="AE23" s="20">
        <f t="shared" si="4"/>
        <v>1137144.8097155835</v>
      </c>
      <c r="AG23" s="20">
        <f>VLOOKUP($B23,Rates!$B:$F,5,FALSE)</f>
        <v>150.46</v>
      </c>
      <c r="AH23" s="20">
        <f>VLOOKUP($B23,Rates!$B:$F,4,FALSE)</f>
        <v>4751.45</v>
      </c>
    </row>
    <row r="24" spans="1:34" s="20" customFormat="1" x14ac:dyDescent="0.2">
      <c r="A24" s="18" t="s">
        <v>67</v>
      </c>
      <c r="B24" s="216">
        <v>2451</v>
      </c>
      <c r="C24" s="20">
        <v>1155096.7923000001</v>
      </c>
      <c r="D24" s="20">
        <v>161771.0790795983</v>
      </c>
      <c r="E24" s="20">
        <v>0</v>
      </c>
      <c r="F24" s="20">
        <v>0</v>
      </c>
      <c r="G24" s="20">
        <v>4216.2717437500141</v>
      </c>
      <c r="H24" s="20">
        <v>0</v>
      </c>
      <c r="I24" s="20">
        <v>100000</v>
      </c>
      <c r="J24" s="20">
        <v>0</v>
      </c>
      <c r="K24" s="20">
        <v>23378.09</v>
      </c>
      <c r="L24" s="20">
        <v>0</v>
      </c>
      <c r="M24" s="222">
        <v>0</v>
      </c>
      <c r="N24" s="222">
        <f t="shared" si="0"/>
        <v>1444462.2331233486</v>
      </c>
      <c r="O24" s="20">
        <v>60925.635673009092</v>
      </c>
      <c r="P24" s="20">
        <v>0</v>
      </c>
      <c r="Q24" s="222">
        <f t="shared" si="2"/>
        <v>1505387.8687963577</v>
      </c>
      <c r="R24" s="20">
        <v>-34535.344392768966</v>
      </c>
      <c r="S24" s="222">
        <f t="shared" si="3"/>
        <v>1470852.5244035886</v>
      </c>
      <c r="T24" s="20">
        <v>16651</v>
      </c>
      <c r="U24" s="20">
        <v>0</v>
      </c>
      <c r="V24" s="20">
        <v>17518</v>
      </c>
      <c r="W24" s="20">
        <v>0</v>
      </c>
      <c r="X24" s="20">
        <v>0</v>
      </c>
      <c r="Y24" s="20">
        <f>SUMIF('Nursery Formula'!C:C,B24,'Nursery Formula'!AQ:AQ)</f>
        <v>108577.93740000001</v>
      </c>
      <c r="Z24" s="20">
        <v>0</v>
      </c>
      <c r="AA24" s="222">
        <f t="shared" si="1"/>
        <v>1613599.4618035886</v>
      </c>
      <c r="AC24" s="20">
        <v>0</v>
      </c>
      <c r="AE24" s="20">
        <f t="shared" si="4"/>
        <v>1120561.447907231</v>
      </c>
      <c r="AG24" s="20">
        <f>VLOOKUP($B24,Rates!$B:$F,5,FALSE)</f>
        <v>-256.69</v>
      </c>
      <c r="AH24" s="20">
        <f>VLOOKUP($B24,Rates!$B:$F,4,FALSE)</f>
        <v>23634.78</v>
      </c>
    </row>
    <row r="25" spans="1:34" s="20" customFormat="1" x14ac:dyDescent="0.2">
      <c r="A25" s="18" t="s">
        <v>68</v>
      </c>
      <c r="B25" s="216">
        <v>2409</v>
      </c>
      <c r="C25" s="20">
        <v>1345577.8701000002</v>
      </c>
      <c r="D25" s="20">
        <v>307093.3526570613</v>
      </c>
      <c r="E25" s="20">
        <v>2639.3713334513272</v>
      </c>
      <c r="F25" s="20">
        <v>0</v>
      </c>
      <c r="G25" s="20">
        <v>170461.08746257925</v>
      </c>
      <c r="H25" s="20">
        <v>0</v>
      </c>
      <c r="I25" s="20">
        <v>100000</v>
      </c>
      <c r="J25" s="20">
        <v>0</v>
      </c>
      <c r="K25" s="20">
        <v>32220.58</v>
      </c>
      <c r="L25" s="20">
        <v>0</v>
      </c>
      <c r="M25" s="222">
        <v>0</v>
      </c>
      <c r="N25" s="222">
        <f t="shared" si="0"/>
        <v>1957992.2615530919</v>
      </c>
      <c r="O25" s="20">
        <v>230770.17537728371</v>
      </c>
      <c r="P25" s="20">
        <v>0</v>
      </c>
      <c r="Q25" s="222">
        <f t="shared" si="2"/>
        <v>2188762.4369303756</v>
      </c>
      <c r="R25" s="20">
        <v>-40230.390613986674</v>
      </c>
      <c r="S25" s="222">
        <f t="shared" si="3"/>
        <v>2148532.046316389</v>
      </c>
      <c r="T25" s="20">
        <v>39765</v>
      </c>
      <c r="U25" s="20">
        <v>0</v>
      </c>
      <c r="V25" s="20">
        <v>19520</v>
      </c>
      <c r="W25" s="20">
        <v>0</v>
      </c>
      <c r="X25" s="20">
        <v>0</v>
      </c>
      <c r="Y25" s="20">
        <f>SUMIF('Nursery Formula'!C:C,B25,'Nursery Formula'!AQ:AQ)</f>
        <v>0</v>
      </c>
      <c r="Z25" s="20">
        <v>0</v>
      </c>
      <c r="AA25" s="222">
        <f t="shared" si="1"/>
        <v>2207817.046316389</v>
      </c>
      <c r="AC25" s="20">
        <v>0</v>
      </c>
      <c r="AE25" s="20">
        <f t="shared" si="4"/>
        <v>1305347.4794860135</v>
      </c>
      <c r="AG25" s="20">
        <f>VLOOKUP($B25,Rates!$B:$F,5,FALSE)</f>
        <v>-353.78</v>
      </c>
      <c r="AH25" s="20">
        <f>VLOOKUP($B25,Rates!$B:$F,4,FALSE)</f>
        <v>32574.36</v>
      </c>
    </row>
    <row r="26" spans="1:34" s="20" customFormat="1" x14ac:dyDescent="0.2">
      <c r="A26" s="18" t="s">
        <v>159</v>
      </c>
      <c r="B26" s="216">
        <v>3158</v>
      </c>
      <c r="C26" s="20">
        <v>285721.61670000001</v>
      </c>
      <c r="D26" s="20">
        <v>62382.104788247598</v>
      </c>
      <c r="E26" s="20">
        <v>0</v>
      </c>
      <c r="F26" s="20">
        <v>0</v>
      </c>
      <c r="G26" s="20">
        <v>84517.604532467521</v>
      </c>
      <c r="H26" s="20">
        <v>0</v>
      </c>
      <c r="I26" s="20">
        <v>100000</v>
      </c>
      <c r="J26" s="20">
        <v>0</v>
      </c>
      <c r="K26" s="20">
        <v>1579.03</v>
      </c>
      <c r="L26" s="20">
        <v>0</v>
      </c>
      <c r="M26" s="222">
        <v>0</v>
      </c>
      <c r="N26" s="222">
        <f t="shared" si="0"/>
        <v>534200.3560207152</v>
      </c>
      <c r="O26" s="20">
        <v>9340.0207056791987</v>
      </c>
      <c r="P26" s="20">
        <v>0</v>
      </c>
      <c r="Q26" s="222">
        <f t="shared" si="2"/>
        <v>543540.3767263944</v>
      </c>
      <c r="R26" s="20">
        <v>-8542.569331826573</v>
      </c>
      <c r="S26" s="222">
        <f t="shared" si="3"/>
        <v>534997.80739456788</v>
      </c>
      <c r="T26" s="20">
        <v>43020</v>
      </c>
      <c r="U26" s="20">
        <v>0</v>
      </c>
      <c r="V26" s="20">
        <v>0</v>
      </c>
      <c r="W26" s="20">
        <v>0</v>
      </c>
      <c r="X26" s="20">
        <v>0</v>
      </c>
      <c r="Y26" s="20">
        <f>SUMIF('Nursery Formula'!C:C,B26,'Nursery Formula'!AQ:AQ)</f>
        <v>126776.51340000001</v>
      </c>
      <c r="Z26" s="20">
        <v>0</v>
      </c>
      <c r="AA26" s="222">
        <f t="shared" si="1"/>
        <v>704794.32079456793</v>
      </c>
      <c r="AC26" s="20">
        <v>0</v>
      </c>
      <c r="AE26" s="20">
        <f t="shared" si="4"/>
        <v>277179.04736817343</v>
      </c>
      <c r="AG26" s="20">
        <f>VLOOKUP($B26,Rates!$B:$F,5,FALSE)</f>
        <v>60.53</v>
      </c>
      <c r="AH26" s="20">
        <f>VLOOKUP($B26,Rates!$B:$F,4,FALSE)</f>
        <v>1518.5</v>
      </c>
    </row>
    <row r="27" spans="1:34" s="20" customFormat="1" x14ac:dyDescent="0.2">
      <c r="A27" s="18" t="s">
        <v>69</v>
      </c>
      <c r="B27" s="216">
        <v>2619</v>
      </c>
      <c r="C27" s="20">
        <v>485970.95490000007</v>
      </c>
      <c r="D27" s="20">
        <v>281026.16315154347</v>
      </c>
      <c r="E27" s="20">
        <v>1479.6160620879123</v>
      </c>
      <c r="F27" s="20">
        <v>0</v>
      </c>
      <c r="G27" s="20">
        <v>12020.543025882345</v>
      </c>
      <c r="H27" s="20">
        <v>0</v>
      </c>
      <c r="I27" s="20">
        <v>100000</v>
      </c>
      <c r="J27" s="20">
        <v>0</v>
      </c>
      <c r="K27" s="20">
        <v>27617.64</v>
      </c>
      <c r="L27" s="20">
        <v>0</v>
      </c>
      <c r="M27" s="222">
        <v>0</v>
      </c>
      <c r="N27" s="222">
        <f t="shared" si="0"/>
        <v>908114.91713951388</v>
      </c>
      <c r="O27" s="20">
        <v>9709.4373026923276</v>
      </c>
      <c r="P27" s="20">
        <v>0</v>
      </c>
      <c r="Q27" s="222">
        <f t="shared" si="2"/>
        <v>917824.35444220621</v>
      </c>
      <c r="R27" s="20">
        <v>-14529.669205414426</v>
      </c>
      <c r="S27" s="222">
        <f t="shared" si="3"/>
        <v>903294.68523679173</v>
      </c>
      <c r="T27" s="20">
        <v>6651</v>
      </c>
      <c r="U27" s="20">
        <v>0</v>
      </c>
      <c r="V27" s="20">
        <v>13514</v>
      </c>
      <c r="W27" s="20">
        <v>0</v>
      </c>
      <c r="X27" s="20">
        <v>0</v>
      </c>
      <c r="Y27" s="20">
        <f>SUMIF('Nursery Formula'!C:C,B27,'Nursery Formula'!AQ:AQ)</f>
        <v>77949.771800000017</v>
      </c>
      <c r="Z27" s="20">
        <v>0</v>
      </c>
      <c r="AA27" s="222">
        <f t="shared" si="1"/>
        <v>1001409.4570367917</v>
      </c>
      <c r="AC27" s="20">
        <v>0</v>
      </c>
      <c r="AE27" s="20">
        <f t="shared" si="4"/>
        <v>471441.28569458565</v>
      </c>
      <c r="AG27" s="20">
        <f>VLOOKUP($B27,Rates!$B:$F,5,FALSE)</f>
        <v>-303.24</v>
      </c>
      <c r="AH27" s="20">
        <f>VLOOKUP($B27,Rates!$B:$F,4,FALSE)</f>
        <v>27920.880000000001</v>
      </c>
    </row>
    <row r="28" spans="1:34" s="20" customFormat="1" x14ac:dyDescent="0.2">
      <c r="A28" s="18" t="s">
        <v>70</v>
      </c>
      <c r="B28" s="216">
        <v>2518</v>
      </c>
      <c r="C28" s="20">
        <v>725293.33470000012</v>
      </c>
      <c r="D28" s="20">
        <v>271588.29627622291</v>
      </c>
      <c r="E28" s="20">
        <v>2734.0500673469382</v>
      </c>
      <c r="F28" s="20">
        <v>0</v>
      </c>
      <c r="G28" s="20">
        <v>105982.8043554656</v>
      </c>
      <c r="H28" s="20">
        <v>67541.984000000157</v>
      </c>
      <c r="I28" s="20">
        <v>100000</v>
      </c>
      <c r="J28" s="20">
        <v>0</v>
      </c>
      <c r="K28" s="20">
        <v>9645.16</v>
      </c>
      <c r="L28" s="20">
        <v>0</v>
      </c>
      <c r="M28" s="222">
        <v>0</v>
      </c>
      <c r="N28" s="222">
        <f t="shared" si="0"/>
        <v>1282785.6293990356</v>
      </c>
      <c r="O28" s="20">
        <v>0</v>
      </c>
      <c r="P28" s="20">
        <v>-33758.889683529829</v>
      </c>
      <c r="Q28" s="222">
        <f t="shared" si="2"/>
        <v>1249026.7397155059</v>
      </c>
      <c r="R28" s="20">
        <v>-21684.983688482836</v>
      </c>
      <c r="S28" s="222">
        <f t="shared" si="3"/>
        <v>1227341.7560270231</v>
      </c>
      <c r="T28" s="20">
        <v>26510</v>
      </c>
      <c r="U28" s="20">
        <v>0</v>
      </c>
      <c r="V28" s="20">
        <v>13514</v>
      </c>
      <c r="W28" s="20">
        <v>0</v>
      </c>
      <c r="X28" s="20">
        <v>0</v>
      </c>
      <c r="Y28" s="20">
        <f>SUMIF('Nursery Formula'!C:C,B28,'Nursery Formula'!AQ:AQ)</f>
        <v>13191.803</v>
      </c>
      <c r="Z28" s="20">
        <v>0</v>
      </c>
      <c r="AA28" s="222">
        <f t="shared" si="1"/>
        <v>1280557.5590270231</v>
      </c>
      <c r="AC28" s="20">
        <v>0</v>
      </c>
      <c r="AE28" s="20">
        <f t="shared" si="4"/>
        <v>703608.35101151734</v>
      </c>
      <c r="AG28" s="20">
        <f>VLOOKUP($B28,Rates!$B:$F,5,FALSE)</f>
        <v>-886.4</v>
      </c>
      <c r="AH28" s="20">
        <f>VLOOKUP($B28,Rates!$B:$F,4,FALSE)</f>
        <v>10531.56</v>
      </c>
    </row>
    <row r="29" spans="1:34" s="20" customFormat="1" x14ac:dyDescent="0.2">
      <c r="A29" s="18" t="s">
        <v>71</v>
      </c>
      <c r="B29" s="216">
        <v>2457</v>
      </c>
      <c r="C29" s="20">
        <v>874259.30580000009</v>
      </c>
      <c r="D29" s="20">
        <v>147991.49950529612</v>
      </c>
      <c r="E29" s="20">
        <v>4140.6117829059831</v>
      </c>
      <c r="F29" s="20">
        <v>0</v>
      </c>
      <c r="G29" s="20">
        <v>23104.812599999994</v>
      </c>
      <c r="H29" s="20">
        <v>0</v>
      </c>
      <c r="I29" s="20">
        <v>100000</v>
      </c>
      <c r="J29" s="20">
        <v>0</v>
      </c>
      <c r="K29" s="20">
        <v>20107.079999999998</v>
      </c>
      <c r="L29" s="20">
        <v>0</v>
      </c>
      <c r="M29" s="222">
        <v>0</v>
      </c>
      <c r="N29" s="222">
        <f t="shared" si="0"/>
        <v>1169603.3096882023</v>
      </c>
      <c r="O29" s="20">
        <v>0</v>
      </c>
      <c r="P29" s="20">
        <v>0</v>
      </c>
      <c r="Q29" s="222">
        <f t="shared" si="2"/>
        <v>1169603.3096882023</v>
      </c>
      <c r="R29" s="20">
        <v>-26138.801887127462</v>
      </c>
      <c r="S29" s="222">
        <f t="shared" si="3"/>
        <v>1143464.5078010748</v>
      </c>
      <c r="T29" s="20">
        <v>0</v>
      </c>
      <c r="U29" s="20">
        <v>0</v>
      </c>
      <c r="V29" s="20">
        <v>12012</v>
      </c>
      <c r="W29" s="20">
        <v>0</v>
      </c>
      <c r="X29" s="20">
        <v>0</v>
      </c>
      <c r="Y29" s="20">
        <f>SUMIF('Nursery Formula'!C:C,B29,'Nursery Formula'!AQ:AQ)</f>
        <v>0</v>
      </c>
      <c r="Z29" s="20">
        <v>0</v>
      </c>
      <c r="AA29" s="222">
        <f t="shared" si="1"/>
        <v>1155476.5078010748</v>
      </c>
      <c r="AC29" s="20">
        <v>0</v>
      </c>
      <c r="AE29" s="20">
        <f t="shared" si="4"/>
        <v>848120.50391287263</v>
      </c>
      <c r="AG29" s="20">
        <f>VLOOKUP($B29,Rates!$B:$F,5,FALSE)</f>
        <v>-273.2</v>
      </c>
      <c r="AH29" s="20">
        <f>VLOOKUP($B29,Rates!$B:$F,4,FALSE)</f>
        <v>20380.28</v>
      </c>
    </row>
    <row r="30" spans="1:34" s="20" customFormat="1" x14ac:dyDescent="0.2">
      <c r="A30" s="18" t="s">
        <v>160</v>
      </c>
      <c r="B30" s="216">
        <v>2010</v>
      </c>
      <c r="C30" s="20">
        <v>471318.56430000003</v>
      </c>
      <c r="D30" s="20">
        <v>182699.11439169041</v>
      </c>
      <c r="E30" s="20">
        <v>0</v>
      </c>
      <c r="F30" s="20">
        <v>0</v>
      </c>
      <c r="G30" s="20">
        <v>24317.539641717794</v>
      </c>
      <c r="H30" s="20">
        <v>0</v>
      </c>
      <c r="I30" s="20">
        <v>100000</v>
      </c>
      <c r="J30" s="20">
        <v>0</v>
      </c>
      <c r="K30" s="20">
        <v>3488.35</v>
      </c>
      <c r="L30" s="20">
        <v>0</v>
      </c>
      <c r="M30" s="222">
        <v>0</v>
      </c>
      <c r="N30" s="222">
        <f t="shared" si="0"/>
        <v>781823.56833340821</v>
      </c>
      <c r="O30" s="20">
        <v>102794.5442176169</v>
      </c>
      <c r="P30" s="20">
        <v>0</v>
      </c>
      <c r="Q30" s="222">
        <f t="shared" si="2"/>
        <v>884618.11255102511</v>
      </c>
      <c r="R30" s="20">
        <v>0</v>
      </c>
      <c r="S30" s="222">
        <f t="shared" si="3"/>
        <v>884618.11255102511</v>
      </c>
      <c r="T30" s="20">
        <v>5000</v>
      </c>
      <c r="U30" s="20">
        <v>0</v>
      </c>
      <c r="V30" s="20">
        <v>23651</v>
      </c>
      <c r="W30" s="20">
        <v>0</v>
      </c>
      <c r="X30" s="20">
        <v>0</v>
      </c>
      <c r="Y30" s="20">
        <f>SUMIF('Nursery Formula'!C:C,B30,'Nursery Formula'!AQ:AQ)</f>
        <v>109580.63639999999</v>
      </c>
      <c r="Z30" s="20">
        <v>0</v>
      </c>
      <c r="AA30" s="222">
        <f t="shared" si="1"/>
        <v>1022849.7489510251</v>
      </c>
      <c r="AC30" s="20">
        <v>0</v>
      </c>
      <c r="AE30" s="20">
        <f t="shared" si="4"/>
        <v>471318.56430000003</v>
      </c>
      <c r="AG30" s="20">
        <f>VLOOKUP($B30,Rates!$B:$F,5,FALSE)</f>
        <v>-38.5</v>
      </c>
      <c r="AH30" s="20">
        <f>VLOOKUP($B30,Rates!$B:$F,4,FALSE)</f>
        <v>3526.85</v>
      </c>
    </row>
    <row r="31" spans="1:34" s="20" customFormat="1" x14ac:dyDescent="0.2">
      <c r="A31" s="18" t="s">
        <v>73</v>
      </c>
      <c r="B31" s="216">
        <v>2002</v>
      </c>
      <c r="C31" s="20">
        <v>1040319.7326000001</v>
      </c>
      <c r="D31" s="20">
        <v>51730.536970747955</v>
      </c>
      <c r="E31" s="20">
        <v>1346.8932574766354</v>
      </c>
      <c r="F31" s="20">
        <v>0</v>
      </c>
      <c r="G31" s="20">
        <v>9960.1802950819656</v>
      </c>
      <c r="H31" s="20">
        <v>0</v>
      </c>
      <c r="I31" s="20">
        <v>100000</v>
      </c>
      <c r="J31" s="20">
        <v>0</v>
      </c>
      <c r="K31" s="20">
        <v>44818.1</v>
      </c>
      <c r="L31" s="20">
        <v>0</v>
      </c>
      <c r="M31" s="222">
        <v>0</v>
      </c>
      <c r="N31" s="222">
        <f t="shared" si="0"/>
        <v>1248175.4431233068</v>
      </c>
      <c r="O31" s="20">
        <v>45390.589697501156</v>
      </c>
      <c r="P31" s="20">
        <v>0</v>
      </c>
      <c r="Q31" s="222">
        <f t="shared" si="2"/>
        <v>1293566.032820808</v>
      </c>
      <c r="R31" s="20">
        <v>-31103.713977419826</v>
      </c>
      <c r="S31" s="222">
        <f t="shared" si="3"/>
        <v>1262462.3188433882</v>
      </c>
      <c r="T31" s="20">
        <v>10000</v>
      </c>
      <c r="U31" s="20">
        <v>0</v>
      </c>
      <c r="V31" s="20">
        <v>55056</v>
      </c>
      <c r="W31" s="20">
        <v>24026</v>
      </c>
      <c r="X31" s="20">
        <v>0</v>
      </c>
      <c r="Y31" s="20">
        <f>SUMIF('Nursery Formula'!C:C,B31,'Nursery Formula'!AQ:AQ)</f>
        <v>100904.23080000002</v>
      </c>
      <c r="Z31" s="20">
        <v>0</v>
      </c>
      <c r="AA31" s="222">
        <f t="shared" si="1"/>
        <v>1452448.5496433883</v>
      </c>
      <c r="AC31" s="20">
        <v>0</v>
      </c>
      <c r="AE31" s="20">
        <f t="shared" si="4"/>
        <v>1009216.0186225803</v>
      </c>
      <c r="AG31" s="20">
        <f>VLOOKUP($B31,Rates!$B:$F,5,FALSE)</f>
        <v>-492.1</v>
      </c>
      <c r="AH31" s="20">
        <f>VLOOKUP($B31,Rates!$B:$F,4,FALSE)</f>
        <v>45310.2</v>
      </c>
    </row>
    <row r="32" spans="1:34" s="20" customFormat="1" x14ac:dyDescent="0.2">
      <c r="A32" s="18" t="s">
        <v>74</v>
      </c>
      <c r="B32" s="216">
        <v>3544</v>
      </c>
      <c r="C32" s="20">
        <v>1311388.9587000001</v>
      </c>
      <c r="D32" s="20">
        <v>447360.96678965638</v>
      </c>
      <c r="E32" s="20">
        <v>0</v>
      </c>
      <c r="F32" s="20">
        <v>0</v>
      </c>
      <c r="G32" s="20">
        <v>206933.80079873133</v>
      </c>
      <c r="H32" s="20">
        <v>0</v>
      </c>
      <c r="I32" s="20">
        <v>100000</v>
      </c>
      <c r="J32" s="20">
        <v>0</v>
      </c>
      <c r="K32" s="20">
        <v>71708.960000000006</v>
      </c>
      <c r="L32" s="20">
        <v>127673</v>
      </c>
      <c r="M32" s="222">
        <v>0</v>
      </c>
      <c r="N32" s="222">
        <f t="shared" si="0"/>
        <v>2265065.686288388</v>
      </c>
      <c r="O32" s="20">
        <v>161991.92102142097</v>
      </c>
      <c r="P32" s="20">
        <v>0</v>
      </c>
      <c r="Q32" s="222">
        <f t="shared" si="2"/>
        <v>2427057.607309809</v>
      </c>
      <c r="R32" s="20">
        <v>-39208.202830691189</v>
      </c>
      <c r="S32" s="222">
        <f t="shared" si="3"/>
        <v>2387849.4044791176</v>
      </c>
      <c r="T32" s="20">
        <v>10000</v>
      </c>
      <c r="U32" s="20">
        <v>0</v>
      </c>
      <c r="V32" s="20">
        <v>0</v>
      </c>
      <c r="W32" s="20">
        <v>0</v>
      </c>
      <c r="X32" s="20">
        <v>0</v>
      </c>
      <c r="Y32" s="20">
        <f>SUMIF('Nursery Formula'!C:C,B32,'Nursery Formula'!AQ:AQ)</f>
        <v>131155.24280000001</v>
      </c>
      <c r="Z32" s="20">
        <v>0</v>
      </c>
      <c r="AA32" s="222">
        <f t="shared" si="1"/>
        <v>2529004.6472791177</v>
      </c>
      <c r="AC32" s="20">
        <v>0</v>
      </c>
      <c r="AE32" s="20">
        <f t="shared" si="4"/>
        <v>1272180.755869309</v>
      </c>
      <c r="AG32" s="20">
        <f>VLOOKUP($B32,Rates!$B:$F,5,FALSE)</f>
        <v>-787.36</v>
      </c>
      <c r="AH32" s="20">
        <f>VLOOKUP($B32,Rates!$B:$F,4,FALSE)</f>
        <v>72496.320000000007</v>
      </c>
    </row>
    <row r="33" spans="1:34" s="20" customFormat="1" x14ac:dyDescent="0.2">
      <c r="A33" s="18" t="s">
        <v>161</v>
      </c>
      <c r="B33" s="216">
        <v>2006</v>
      </c>
      <c r="C33" s="20">
        <v>600748.01460000011</v>
      </c>
      <c r="D33" s="20">
        <v>14177.172832281145</v>
      </c>
      <c r="E33" s="20">
        <v>5690.449712820513</v>
      </c>
      <c r="F33" s="20">
        <v>0</v>
      </c>
      <c r="G33" s="20">
        <v>6347.0506974874324</v>
      </c>
      <c r="H33" s="20">
        <v>0</v>
      </c>
      <c r="I33" s="20">
        <v>100000</v>
      </c>
      <c r="J33" s="20">
        <v>0</v>
      </c>
      <c r="K33" s="20">
        <v>28344.42</v>
      </c>
      <c r="L33" s="20">
        <v>0</v>
      </c>
      <c r="M33" s="222">
        <v>0</v>
      </c>
      <c r="N33" s="222">
        <f t="shared" si="0"/>
        <v>755307.10784258915</v>
      </c>
      <c r="O33" s="20">
        <v>56886.199808067526</v>
      </c>
      <c r="P33" s="20">
        <v>0</v>
      </c>
      <c r="Q33" s="222">
        <f t="shared" si="2"/>
        <v>812193.30765065667</v>
      </c>
      <c r="R33" s="20">
        <v>-17961.299620763562</v>
      </c>
      <c r="S33" s="222">
        <f t="shared" si="3"/>
        <v>794232.00802989316</v>
      </c>
      <c r="T33" s="20">
        <v>34765</v>
      </c>
      <c r="U33" s="20">
        <v>0</v>
      </c>
      <c r="V33" s="20">
        <v>45048</v>
      </c>
      <c r="W33" s="20">
        <v>0</v>
      </c>
      <c r="X33" s="20">
        <v>0</v>
      </c>
      <c r="Y33" s="20">
        <f>SUMIF('Nursery Formula'!C:C,B33,'Nursery Formula'!AQ:AQ)</f>
        <v>100024.34760000001</v>
      </c>
      <c r="Z33" s="20">
        <v>0</v>
      </c>
      <c r="AA33" s="222">
        <f t="shared" si="1"/>
        <v>974069.35562989314</v>
      </c>
      <c r="AC33" s="20">
        <v>0</v>
      </c>
      <c r="AE33" s="20">
        <f t="shared" si="4"/>
        <v>582786.7149792366</v>
      </c>
      <c r="AG33" s="20">
        <f>VLOOKUP($B33,Rates!$B:$F,5,FALSE)</f>
        <v>-311.22000000000003</v>
      </c>
      <c r="AH33" s="20">
        <f>VLOOKUP($B33,Rates!$B:$F,4,FALSE)</f>
        <v>28655.64</v>
      </c>
    </row>
    <row r="34" spans="1:34" s="20" customFormat="1" x14ac:dyDescent="0.2">
      <c r="A34" s="18" t="s">
        <v>76</v>
      </c>
      <c r="B34" s="216">
        <v>2434</v>
      </c>
      <c r="C34" s="20">
        <v>1052530.0581</v>
      </c>
      <c r="D34" s="20">
        <v>395016.7202162394</v>
      </c>
      <c r="E34" s="20">
        <v>19050.43510075377</v>
      </c>
      <c r="F34" s="20">
        <v>0</v>
      </c>
      <c r="G34" s="20">
        <v>14669.02769659092</v>
      </c>
      <c r="H34" s="20">
        <v>33498.152812641049</v>
      </c>
      <c r="I34" s="20">
        <v>100000</v>
      </c>
      <c r="J34" s="20">
        <v>0</v>
      </c>
      <c r="K34" s="20">
        <v>49448.24</v>
      </c>
      <c r="L34" s="20">
        <v>137498</v>
      </c>
      <c r="M34" s="222">
        <v>0</v>
      </c>
      <c r="N34" s="222">
        <f t="shared" si="0"/>
        <v>1801710.6339262251</v>
      </c>
      <c r="O34" s="20">
        <v>71902.853122026892</v>
      </c>
      <c r="P34" s="20">
        <v>0</v>
      </c>
      <c r="Q34" s="222">
        <f t="shared" si="2"/>
        <v>1873613.487048252</v>
      </c>
      <c r="R34" s="20">
        <v>-31468.7810428825</v>
      </c>
      <c r="S34" s="222">
        <f t="shared" si="3"/>
        <v>1842144.7060053695</v>
      </c>
      <c r="T34" s="20">
        <v>15000</v>
      </c>
      <c r="U34" s="20">
        <v>218061.67499999999</v>
      </c>
      <c r="V34" s="20">
        <v>23274</v>
      </c>
      <c r="W34" s="20">
        <v>0</v>
      </c>
      <c r="X34" s="20">
        <v>0</v>
      </c>
      <c r="Y34" s="20">
        <f>SUMIF('Nursery Formula'!C:C,B34,'Nursery Formula'!AQ:AQ)</f>
        <v>206188.51699999999</v>
      </c>
      <c r="Z34" s="20">
        <v>0</v>
      </c>
      <c r="AA34" s="222">
        <f t="shared" si="1"/>
        <v>2304668.8980053696</v>
      </c>
      <c r="AC34" s="20">
        <v>0</v>
      </c>
      <c r="AE34" s="20">
        <f t="shared" si="4"/>
        <v>1021061.2770571175</v>
      </c>
      <c r="AG34" s="20">
        <f>VLOOKUP($B34,Rates!$B:$F,5,FALSE)</f>
        <v>-4924</v>
      </c>
      <c r="AH34" s="20">
        <f>VLOOKUP($B34,Rates!$B:$F,4,FALSE)</f>
        <v>54372.24</v>
      </c>
    </row>
    <row r="35" spans="1:34" s="20" customFormat="1" x14ac:dyDescent="0.2">
      <c r="A35" s="18" t="s">
        <v>77</v>
      </c>
      <c r="B35" s="216">
        <v>2522</v>
      </c>
      <c r="C35" s="20">
        <v>1006130.8212000001</v>
      </c>
      <c r="D35" s="20">
        <v>51191.055104805746</v>
      </c>
      <c r="E35" s="20">
        <v>2732.9670607843136</v>
      </c>
      <c r="F35" s="20">
        <v>0</v>
      </c>
      <c r="G35" s="20">
        <v>8863.2986882681653</v>
      </c>
      <c r="H35" s="20">
        <v>0</v>
      </c>
      <c r="I35" s="20">
        <v>100000</v>
      </c>
      <c r="J35" s="20">
        <v>0</v>
      </c>
      <c r="K35" s="20">
        <v>17442.72</v>
      </c>
      <c r="L35" s="20">
        <v>0</v>
      </c>
      <c r="M35" s="222">
        <v>0</v>
      </c>
      <c r="N35" s="222">
        <f t="shared" si="0"/>
        <v>1186360.8620538583</v>
      </c>
      <c r="O35" s="20">
        <v>10125.356985167135</v>
      </c>
      <c r="P35" s="20">
        <v>0</v>
      </c>
      <c r="Q35" s="222">
        <f t="shared" si="2"/>
        <v>1196486.2190390255</v>
      </c>
      <c r="R35" s="20">
        <v>-30081.526194124341</v>
      </c>
      <c r="S35" s="222">
        <f t="shared" si="3"/>
        <v>1166404.6928449012</v>
      </c>
      <c r="T35" s="20">
        <v>19906</v>
      </c>
      <c r="U35" s="20">
        <v>0</v>
      </c>
      <c r="V35" s="20">
        <v>9010</v>
      </c>
      <c r="W35" s="20">
        <v>0</v>
      </c>
      <c r="X35" s="20">
        <v>0</v>
      </c>
      <c r="Y35" s="20">
        <f>SUMIF('Nursery Formula'!C:C,B35,'Nursery Formula'!AQ:AQ)</f>
        <v>0</v>
      </c>
      <c r="Z35" s="20">
        <v>0</v>
      </c>
      <c r="AA35" s="222">
        <f t="shared" si="1"/>
        <v>1195320.6928449012</v>
      </c>
      <c r="AC35" s="20">
        <v>0</v>
      </c>
      <c r="AE35" s="20">
        <f t="shared" si="4"/>
        <v>976049.29500587576</v>
      </c>
      <c r="AG35" s="20">
        <f>VLOOKUP($B35,Rates!$B:$F,5,FALSE)</f>
        <v>-191.52</v>
      </c>
      <c r="AH35" s="20">
        <f>VLOOKUP($B35,Rates!$B:$F,4,FALSE)</f>
        <v>17634.240000000002</v>
      </c>
    </row>
    <row r="36" spans="1:34" s="20" customFormat="1" x14ac:dyDescent="0.2">
      <c r="A36" s="18" t="s">
        <v>78</v>
      </c>
      <c r="B36" s="216">
        <v>2436</v>
      </c>
      <c r="C36" s="20">
        <v>783902.89710000006</v>
      </c>
      <c r="D36" s="20">
        <v>85007.51395236289</v>
      </c>
      <c r="E36" s="20">
        <v>2775.6074166134181</v>
      </c>
      <c r="F36" s="20">
        <v>0</v>
      </c>
      <c r="G36" s="20">
        <v>5202.4725340908981</v>
      </c>
      <c r="H36" s="20">
        <v>0</v>
      </c>
      <c r="I36" s="20">
        <v>100000</v>
      </c>
      <c r="J36" s="20">
        <v>0</v>
      </c>
      <c r="K36" s="20">
        <v>13808.82</v>
      </c>
      <c r="L36" s="20">
        <v>0</v>
      </c>
      <c r="M36" s="222">
        <v>0</v>
      </c>
      <c r="N36" s="222">
        <f t="shared" si="0"/>
        <v>990697.31100306718</v>
      </c>
      <c r="O36" s="20">
        <v>76310.754990635091</v>
      </c>
      <c r="P36" s="20">
        <v>0</v>
      </c>
      <c r="Q36" s="222">
        <f t="shared" si="2"/>
        <v>1067008.0659937023</v>
      </c>
      <c r="R36" s="20">
        <v>-23437.305602703673</v>
      </c>
      <c r="S36" s="222">
        <f t="shared" si="3"/>
        <v>1043570.7603909986</v>
      </c>
      <c r="T36" s="20">
        <v>10000</v>
      </c>
      <c r="U36" s="20">
        <v>62980</v>
      </c>
      <c r="V36" s="20">
        <v>11637</v>
      </c>
      <c r="W36" s="20">
        <v>0</v>
      </c>
      <c r="X36" s="20">
        <v>0</v>
      </c>
      <c r="Y36" s="20">
        <f>SUMIF('Nursery Formula'!C:C,B36,'Nursery Formula'!AQ:AQ)</f>
        <v>0</v>
      </c>
      <c r="Z36" s="20">
        <v>0</v>
      </c>
      <c r="AA36" s="222">
        <f t="shared" si="1"/>
        <v>1128187.7603909986</v>
      </c>
      <c r="AC36" s="20">
        <v>68940.149999999994</v>
      </c>
      <c r="AE36" s="20">
        <f t="shared" si="4"/>
        <v>760465.59149729635</v>
      </c>
      <c r="AG36" s="20">
        <f>VLOOKUP($B36,Rates!$B:$F,5,FALSE)</f>
        <v>-151.62</v>
      </c>
      <c r="AH36" s="20">
        <f>VLOOKUP($B36,Rates!$B:$F,4,FALSE)</f>
        <v>13960.44</v>
      </c>
    </row>
    <row r="37" spans="1:34" s="20" customFormat="1" x14ac:dyDescent="0.2">
      <c r="A37" s="18" t="s">
        <v>79</v>
      </c>
      <c r="B37" s="216">
        <v>2452</v>
      </c>
      <c r="C37" s="20">
        <v>505507.47570000007</v>
      </c>
      <c r="D37" s="20">
        <v>120977.72764662586</v>
      </c>
      <c r="E37" s="20">
        <v>1379.8810684729062</v>
      </c>
      <c r="F37" s="20">
        <v>0</v>
      </c>
      <c r="G37" s="20">
        <v>5937.5496067039103</v>
      </c>
      <c r="H37" s="20">
        <v>0</v>
      </c>
      <c r="I37" s="20">
        <v>100000</v>
      </c>
      <c r="J37" s="20">
        <v>0</v>
      </c>
      <c r="K37" s="20">
        <v>15020.12</v>
      </c>
      <c r="L37" s="20">
        <v>0</v>
      </c>
      <c r="M37" s="222">
        <v>0</v>
      </c>
      <c r="N37" s="222">
        <f t="shared" si="0"/>
        <v>748822.75402180268</v>
      </c>
      <c r="O37" s="20">
        <v>27271.908326747245</v>
      </c>
      <c r="P37" s="20">
        <v>0</v>
      </c>
      <c r="Q37" s="222">
        <f t="shared" si="2"/>
        <v>776094.66234854993</v>
      </c>
      <c r="R37" s="20">
        <v>-15113.776510154705</v>
      </c>
      <c r="S37" s="222">
        <f t="shared" si="3"/>
        <v>760980.88583839522</v>
      </c>
      <c r="T37" s="20">
        <v>8302</v>
      </c>
      <c r="U37" s="20">
        <v>0</v>
      </c>
      <c r="V37" s="20">
        <v>22524</v>
      </c>
      <c r="W37" s="20">
        <v>0</v>
      </c>
      <c r="X37" s="20">
        <v>0</v>
      </c>
      <c r="Y37" s="20">
        <f>SUMIF('Nursery Formula'!C:C,B37,'Nursery Formula'!AQ:AQ)</f>
        <v>82803.791800000006</v>
      </c>
      <c r="Z37" s="20">
        <v>0</v>
      </c>
      <c r="AA37" s="222">
        <f t="shared" si="1"/>
        <v>874610.67763839522</v>
      </c>
      <c r="AC37" s="20">
        <v>0</v>
      </c>
      <c r="AE37" s="20">
        <f t="shared" si="4"/>
        <v>490393.69918984536</v>
      </c>
      <c r="AG37" s="20">
        <f>VLOOKUP($B37,Rates!$B:$F,5,FALSE)</f>
        <v>-164.92</v>
      </c>
      <c r="AH37" s="20">
        <f>VLOOKUP($B37,Rates!$B:$F,4,FALSE)</f>
        <v>15185.04</v>
      </c>
    </row>
    <row r="38" spans="1:34" s="20" customFormat="1" x14ac:dyDescent="0.2">
      <c r="A38" s="18" t="s">
        <v>80</v>
      </c>
      <c r="B38" s="216">
        <v>2627</v>
      </c>
      <c r="C38" s="20">
        <v>947521.25880000007</v>
      </c>
      <c r="D38" s="20">
        <v>42480.39437517144</v>
      </c>
      <c r="E38" s="20">
        <v>0</v>
      </c>
      <c r="F38" s="20">
        <v>0</v>
      </c>
      <c r="G38" s="20">
        <v>26080.491161329312</v>
      </c>
      <c r="H38" s="20">
        <v>0</v>
      </c>
      <c r="I38" s="20">
        <v>100000</v>
      </c>
      <c r="J38" s="20">
        <v>0</v>
      </c>
      <c r="K38" s="20">
        <v>20349.84</v>
      </c>
      <c r="L38" s="20">
        <v>0</v>
      </c>
      <c r="M38" s="222">
        <v>0</v>
      </c>
      <c r="N38" s="222">
        <f t="shared" si="0"/>
        <v>1136431.9843365008</v>
      </c>
      <c r="O38" s="20">
        <v>28752.085632161237</v>
      </c>
      <c r="P38" s="20">
        <v>0</v>
      </c>
      <c r="Q38" s="222">
        <f t="shared" si="2"/>
        <v>1165184.069968662</v>
      </c>
      <c r="R38" s="20">
        <v>-28329.204279903504</v>
      </c>
      <c r="S38" s="222">
        <f t="shared" si="3"/>
        <v>1136854.8656887584</v>
      </c>
      <c r="T38" s="20">
        <v>14953</v>
      </c>
      <c r="U38" s="20">
        <v>0</v>
      </c>
      <c r="V38" s="20">
        <v>12012</v>
      </c>
      <c r="W38" s="20">
        <v>0</v>
      </c>
      <c r="X38" s="20">
        <v>0</v>
      </c>
      <c r="Y38" s="20">
        <f>SUMIF('Nursery Formula'!C:C,B38,'Nursery Formula'!AQ:AQ)</f>
        <v>0</v>
      </c>
      <c r="Z38" s="20">
        <v>0</v>
      </c>
      <c r="AA38" s="222">
        <f t="shared" si="1"/>
        <v>1163819.8656887584</v>
      </c>
      <c r="AC38" s="20">
        <v>0</v>
      </c>
      <c r="AE38" s="20">
        <f t="shared" si="4"/>
        <v>919192.05452009651</v>
      </c>
      <c r="AG38" s="20">
        <f>VLOOKUP($B38,Rates!$B:$F,5,FALSE)</f>
        <v>-223.44</v>
      </c>
      <c r="AH38" s="20">
        <f>VLOOKUP($B38,Rates!$B:$F,4,FALSE)</f>
        <v>20573.28</v>
      </c>
    </row>
    <row r="39" spans="1:34" s="20" customFormat="1" x14ac:dyDescent="0.2">
      <c r="A39" s="18" t="s">
        <v>81</v>
      </c>
      <c r="B39" s="216">
        <v>2009</v>
      </c>
      <c r="C39" s="20">
        <v>674009.96760000009</v>
      </c>
      <c r="D39" s="20">
        <v>288077.79275282728</v>
      </c>
      <c r="E39" s="20">
        <v>0</v>
      </c>
      <c r="F39" s="20">
        <v>0</v>
      </c>
      <c r="G39" s="20">
        <v>9706.1313205479437</v>
      </c>
      <c r="H39" s="20">
        <v>0</v>
      </c>
      <c r="I39" s="20">
        <v>100000</v>
      </c>
      <c r="J39" s="20">
        <v>0</v>
      </c>
      <c r="K39" s="20">
        <v>2549.44</v>
      </c>
      <c r="L39" s="20">
        <v>0</v>
      </c>
      <c r="M39" s="222">
        <v>0</v>
      </c>
      <c r="N39" s="222">
        <f t="shared" si="0"/>
        <v>1074343.3316733753</v>
      </c>
      <c r="O39" s="20">
        <v>323.16982691909652</v>
      </c>
      <c r="P39" s="20">
        <v>0</v>
      </c>
      <c r="Q39" s="222">
        <f t="shared" si="2"/>
        <v>1074666.5015002945</v>
      </c>
      <c r="R39" s="20">
        <v>0</v>
      </c>
      <c r="S39" s="222">
        <f t="shared" si="3"/>
        <v>1074666.5015002945</v>
      </c>
      <c r="T39" s="20">
        <v>47973</v>
      </c>
      <c r="U39" s="20">
        <v>0</v>
      </c>
      <c r="V39" s="20">
        <v>0</v>
      </c>
      <c r="W39" s="20">
        <v>0</v>
      </c>
      <c r="X39" s="20">
        <v>0</v>
      </c>
      <c r="Y39" s="20">
        <f>SUMIF('Nursery Formula'!C:C,B39,'Nursery Formula'!AQ:AQ)</f>
        <v>0</v>
      </c>
      <c r="Z39" s="20">
        <v>0</v>
      </c>
      <c r="AA39" s="222">
        <f t="shared" si="1"/>
        <v>1122639.5015002945</v>
      </c>
      <c r="AC39" s="20">
        <v>0</v>
      </c>
      <c r="AE39" s="20">
        <f t="shared" si="4"/>
        <v>674009.96760000009</v>
      </c>
      <c r="AG39" s="20">
        <f>VLOOKUP($B39,Rates!$B:$F,5,FALSE)</f>
        <v>-71.2</v>
      </c>
      <c r="AH39" s="20">
        <f>VLOOKUP($B39,Rates!$B:$F,4,FALSE)</f>
        <v>2620.64</v>
      </c>
    </row>
    <row r="40" spans="1:34" s="20" customFormat="1" x14ac:dyDescent="0.2">
      <c r="A40" s="18" t="s">
        <v>162</v>
      </c>
      <c r="B40" s="216">
        <v>2473</v>
      </c>
      <c r="C40" s="20">
        <v>652031.38170000003</v>
      </c>
      <c r="D40" s="20">
        <v>184834.62692775231</v>
      </c>
      <c r="E40" s="20">
        <v>5372.6224371747212</v>
      </c>
      <c r="F40" s="20">
        <v>0</v>
      </c>
      <c r="G40" s="20">
        <v>7745.1160881356009</v>
      </c>
      <c r="H40" s="20">
        <v>0</v>
      </c>
      <c r="I40" s="20">
        <v>100000</v>
      </c>
      <c r="J40" s="20">
        <v>0</v>
      </c>
      <c r="K40" s="20">
        <v>15020.12</v>
      </c>
      <c r="L40" s="20">
        <v>0</v>
      </c>
      <c r="M40" s="222">
        <v>0</v>
      </c>
      <c r="N40" s="222">
        <f t="shared" si="0"/>
        <v>965003.8671530626</v>
      </c>
      <c r="O40" s="20">
        <v>27241.720468063955</v>
      </c>
      <c r="P40" s="20">
        <v>0</v>
      </c>
      <c r="Q40" s="222">
        <f t="shared" si="2"/>
        <v>992245.58762112656</v>
      </c>
      <c r="R40" s="20">
        <v>-19494.581295706794</v>
      </c>
      <c r="S40" s="222">
        <f t="shared" si="3"/>
        <v>972751.00632541976</v>
      </c>
      <c r="T40" s="20">
        <v>15000</v>
      </c>
      <c r="U40" s="20">
        <v>0</v>
      </c>
      <c r="V40" s="20">
        <v>0</v>
      </c>
      <c r="W40" s="20">
        <v>0</v>
      </c>
      <c r="X40" s="20">
        <v>0</v>
      </c>
      <c r="Y40" s="20">
        <f>SUMIF('Nursery Formula'!C:C,B40,'Nursery Formula'!AQ:AQ)</f>
        <v>163593.72900000002</v>
      </c>
      <c r="Z40" s="20">
        <v>0</v>
      </c>
      <c r="AA40" s="222">
        <f t="shared" si="1"/>
        <v>1151344.7353254198</v>
      </c>
      <c r="AC40" s="20">
        <v>0</v>
      </c>
      <c r="AE40" s="20">
        <f t="shared" si="4"/>
        <v>632536.80040429323</v>
      </c>
      <c r="AG40" s="20">
        <f>VLOOKUP($B40,Rates!$B:$F,5,FALSE)</f>
        <v>-164.92</v>
      </c>
      <c r="AH40" s="20">
        <f>VLOOKUP($B40,Rates!$B:$F,4,FALSE)</f>
        <v>15185.04</v>
      </c>
    </row>
    <row r="41" spans="1:34" s="20" customFormat="1" x14ac:dyDescent="0.2">
      <c r="A41" s="18" t="s">
        <v>84</v>
      </c>
      <c r="B41" s="216">
        <v>2471</v>
      </c>
      <c r="C41" s="20">
        <v>844954.52460000012</v>
      </c>
      <c r="D41" s="20">
        <v>250325.41623040254</v>
      </c>
      <c r="E41" s="20">
        <v>2690.8791850574712</v>
      </c>
      <c r="F41" s="20">
        <v>0</v>
      </c>
      <c r="G41" s="20">
        <v>8557.337999999987</v>
      </c>
      <c r="H41" s="20">
        <v>0</v>
      </c>
      <c r="I41" s="20">
        <v>100000</v>
      </c>
      <c r="J41" s="20">
        <v>0</v>
      </c>
      <c r="K41" s="20">
        <v>15020.12</v>
      </c>
      <c r="L41" s="20">
        <v>0</v>
      </c>
      <c r="M41" s="222">
        <v>0</v>
      </c>
      <c r="N41" s="222">
        <f t="shared" si="0"/>
        <v>1221548.2780154601</v>
      </c>
      <c r="O41" s="20">
        <v>18345.731566958595</v>
      </c>
      <c r="P41" s="20">
        <v>0</v>
      </c>
      <c r="Q41" s="222">
        <f t="shared" si="2"/>
        <v>1239894.0095824187</v>
      </c>
      <c r="R41" s="20">
        <v>-25262.640930017042</v>
      </c>
      <c r="S41" s="222">
        <f t="shared" si="3"/>
        <v>1214631.3686524017</v>
      </c>
      <c r="T41" s="20">
        <v>0</v>
      </c>
      <c r="U41" s="20">
        <v>0</v>
      </c>
      <c r="V41" s="20">
        <v>31534</v>
      </c>
      <c r="W41" s="20">
        <v>0</v>
      </c>
      <c r="X41" s="20">
        <v>0</v>
      </c>
      <c r="Y41" s="20">
        <f>SUMIF('Nursery Formula'!C:C,B41,'Nursery Formula'!AQ:AQ)</f>
        <v>0</v>
      </c>
      <c r="Z41" s="20">
        <v>0</v>
      </c>
      <c r="AA41" s="222">
        <f t="shared" si="1"/>
        <v>1246165.3686524017</v>
      </c>
      <c r="AC41" s="20">
        <v>0</v>
      </c>
      <c r="AE41" s="20">
        <f t="shared" si="4"/>
        <v>819691.88366998313</v>
      </c>
      <c r="AG41" s="20">
        <f>VLOOKUP($B41,Rates!$B:$F,5,FALSE)</f>
        <v>-164.92</v>
      </c>
      <c r="AH41" s="20">
        <f>VLOOKUP($B41,Rates!$B:$F,4,FALSE)</f>
        <v>15185.04</v>
      </c>
    </row>
    <row r="42" spans="1:34" s="20" customFormat="1" x14ac:dyDescent="0.2">
      <c r="A42" s="18" t="s">
        <v>82</v>
      </c>
      <c r="B42" s="216">
        <v>2420</v>
      </c>
      <c r="C42" s="20">
        <v>1135560.2715</v>
      </c>
      <c r="D42" s="20">
        <v>669503.67432628619</v>
      </c>
      <c r="E42" s="20">
        <v>4130.716184901532</v>
      </c>
      <c r="F42" s="20">
        <v>0</v>
      </c>
      <c r="G42" s="20">
        <v>114583.20384816751</v>
      </c>
      <c r="H42" s="20">
        <v>60583.839999999771</v>
      </c>
      <c r="I42" s="20">
        <v>100000</v>
      </c>
      <c r="J42" s="20">
        <v>0</v>
      </c>
      <c r="K42" s="20">
        <v>22287.919999999998</v>
      </c>
      <c r="L42" s="20">
        <v>0</v>
      </c>
      <c r="M42" s="222">
        <v>0</v>
      </c>
      <c r="N42" s="222">
        <f t="shared" si="0"/>
        <v>2106649.6258593551</v>
      </c>
      <c r="O42" s="20">
        <v>0</v>
      </c>
      <c r="P42" s="20">
        <v>0</v>
      </c>
      <c r="Q42" s="222">
        <f t="shared" si="2"/>
        <v>2106649.6258593551</v>
      </c>
      <c r="R42" s="20">
        <v>-33951.237088028684</v>
      </c>
      <c r="S42" s="222">
        <f t="shared" si="3"/>
        <v>2072698.3887713265</v>
      </c>
      <c r="T42" s="20">
        <v>29859</v>
      </c>
      <c r="U42" s="20">
        <v>0</v>
      </c>
      <c r="V42" s="20">
        <v>13514</v>
      </c>
      <c r="W42" s="20">
        <v>0</v>
      </c>
      <c r="X42" s="20">
        <v>0</v>
      </c>
      <c r="Y42" s="20">
        <f>SUMIF('Nursery Formula'!C:C,B42,'Nursery Formula'!AQ:AQ)</f>
        <v>204664.06940000001</v>
      </c>
      <c r="Z42" s="20">
        <v>0</v>
      </c>
      <c r="AA42" s="222">
        <f t="shared" si="1"/>
        <v>2320735.4581713262</v>
      </c>
      <c r="AC42" s="20">
        <v>0</v>
      </c>
      <c r="AE42" s="20">
        <f t="shared" si="4"/>
        <v>1101609.0344119715</v>
      </c>
      <c r="AG42" s="20">
        <f>VLOOKUP($B42,Rates!$B:$F,5,FALSE)</f>
        <v>-244.72</v>
      </c>
      <c r="AH42" s="20">
        <f>VLOOKUP($B42,Rates!$B:$F,4,FALSE)</f>
        <v>22532.639999999999</v>
      </c>
    </row>
    <row r="43" spans="1:34" s="20" customFormat="1" x14ac:dyDescent="0.2">
      <c r="A43" s="18" t="s">
        <v>85</v>
      </c>
      <c r="B43" s="216">
        <v>2003</v>
      </c>
      <c r="C43" s="20">
        <v>507949.54080000008</v>
      </c>
      <c r="D43" s="20">
        <v>13471.01168355112</v>
      </c>
      <c r="E43" s="20">
        <v>1321.4510497652582</v>
      </c>
      <c r="F43" s="20">
        <v>0</v>
      </c>
      <c r="G43" s="20">
        <v>3999.834391011244</v>
      </c>
      <c r="H43" s="20">
        <v>0</v>
      </c>
      <c r="I43" s="20">
        <v>100000</v>
      </c>
      <c r="J43" s="20">
        <v>0</v>
      </c>
      <c r="K43" s="20">
        <v>27859.899999999998</v>
      </c>
      <c r="L43" s="20">
        <v>0</v>
      </c>
      <c r="M43" s="222">
        <v>0</v>
      </c>
      <c r="N43" s="222">
        <f t="shared" si="0"/>
        <v>654601.73792432772</v>
      </c>
      <c r="O43" s="20">
        <v>1553.3169181528501</v>
      </c>
      <c r="P43" s="20">
        <v>0</v>
      </c>
      <c r="Q43" s="222">
        <f t="shared" si="2"/>
        <v>656155.05484248057</v>
      </c>
      <c r="R43" s="20">
        <v>-15186.789923247239</v>
      </c>
      <c r="S43" s="222">
        <f t="shared" si="3"/>
        <v>640968.26491923339</v>
      </c>
      <c r="T43" s="20">
        <v>5000</v>
      </c>
      <c r="U43" s="20">
        <v>0</v>
      </c>
      <c r="V43" s="20">
        <v>5631</v>
      </c>
      <c r="W43" s="20">
        <v>0</v>
      </c>
      <c r="X43" s="20">
        <v>0</v>
      </c>
      <c r="Y43" s="20">
        <f>SUMIF('Nursery Formula'!C:C,B43,'Nursery Formula'!AQ:AQ)</f>
        <v>101846.46</v>
      </c>
      <c r="Z43" s="20">
        <v>0</v>
      </c>
      <c r="AA43" s="222">
        <f t="shared" si="1"/>
        <v>753445.72491923335</v>
      </c>
      <c r="AC43" s="20">
        <v>0</v>
      </c>
      <c r="AE43" s="20">
        <f t="shared" si="4"/>
        <v>492762.75087675283</v>
      </c>
      <c r="AG43" s="20">
        <f>VLOOKUP($B43,Rates!$B:$F,5,FALSE)</f>
        <v>-305.89999999999998</v>
      </c>
      <c r="AH43" s="20">
        <f>VLOOKUP($B43,Rates!$B:$F,4,FALSE)</f>
        <v>28165.8</v>
      </c>
    </row>
    <row r="44" spans="1:34" s="20" customFormat="1" x14ac:dyDescent="0.2">
      <c r="A44" s="18" t="s">
        <v>86</v>
      </c>
      <c r="B44" s="216">
        <v>2423</v>
      </c>
      <c r="C44" s="20">
        <v>874259.30580000009</v>
      </c>
      <c r="D44" s="20">
        <v>368288.17577835626</v>
      </c>
      <c r="E44" s="20">
        <v>0</v>
      </c>
      <c r="F44" s="20">
        <v>0</v>
      </c>
      <c r="G44" s="20">
        <v>124937.1347999999</v>
      </c>
      <c r="H44" s="20">
        <v>29032.25599999979</v>
      </c>
      <c r="I44" s="20">
        <v>100000</v>
      </c>
      <c r="J44" s="20">
        <v>0</v>
      </c>
      <c r="K44" s="20">
        <v>12234.38</v>
      </c>
      <c r="L44" s="20">
        <v>0</v>
      </c>
      <c r="M44" s="222">
        <v>0</v>
      </c>
      <c r="N44" s="222">
        <f t="shared" si="0"/>
        <v>1508751.2523783559</v>
      </c>
      <c r="O44" s="20">
        <v>160351.3276550069</v>
      </c>
      <c r="P44" s="20">
        <v>0</v>
      </c>
      <c r="Q44" s="222">
        <f t="shared" si="2"/>
        <v>1669102.5800333628</v>
      </c>
      <c r="R44" s="20">
        <v>-26138.801887127462</v>
      </c>
      <c r="S44" s="222">
        <f t="shared" si="3"/>
        <v>1642963.7781462353</v>
      </c>
      <c r="T44" s="20">
        <v>0</v>
      </c>
      <c r="U44" s="20">
        <v>0</v>
      </c>
      <c r="V44" s="20">
        <v>0</v>
      </c>
      <c r="W44" s="20">
        <v>0</v>
      </c>
      <c r="X44" s="20">
        <v>0</v>
      </c>
      <c r="Y44" s="20">
        <f>SUMIF('Nursery Formula'!C:C,B44,'Nursery Formula'!AQ:AQ)</f>
        <v>0</v>
      </c>
      <c r="Z44" s="20">
        <v>0</v>
      </c>
      <c r="AA44" s="222">
        <f t="shared" si="1"/>
        <v>1642963.7781462353</v>
      </c>
      <c r="AC44" s="20">
        <v>0</v>
      </c>
      <c r="AE44" s="20">
        <f t="shared" si="4"/>
        <v>848120.50391287263</v>
      </c>
      <c r="AG44" s="20">
        <f>VLOOKUP($B44,Rates!$B:$F,5,FALSE)</f>
        <v>-134.08000000000001</v>
      </c>
      <c r="AH44" s="20">
        <f>VLOOKUP($B44,Rates!$B:$F,4,FALSE)</f>
        <v>12368.46</v>
      </c>
    </row>
    <row r="45" spans="1:34" s="20" customFormat="1" x14ac:dyDescent="0.2">
      <c r="A45" s="18" t="s">
        <v>87</v>
      </c>
      <c r="B45" s="216">
        <v>2424</v>
      </c>
      <c r="C45" s="20">
        <v>652031.38170000003</v>
      </c>
      <c r="D45" s="20">
        <v>242804.96490978968</v>
      </c>
      <c r="E45" s="20">
        <v>2676.3619177777778</v>
      </c>
      <c r="F45" s="20">
        <v>0</v>
      </c>
      <c r="G45" s="20">
        <v>156193.1744440679</v>
      </c>
      <c r="H45" s="20">
        <v>6358.3040000001283</v>
      </c>
      <c r="I45" s="20">
        <v>100000</v>
      </c>
      <c r="J45" s="20">
        <v>0</v>
      </c>
      <c r="K45" s="20">
        <v>12234.38</v>
      </c>
      <c r="L45" s="20">
        <v>0</v>
      </c>
      <c r="M45" s="222">
        <v>0</v>
      </c>
      <c r="N45" s="222">
        <f t="shared" si="0"/>
        <v>1172298.5669716354</v>
      </c>
      <c r="O45" s="20">
        <v>145978.79644388682</v>
      </c>
      <c r="P45" s="20">
        <v>0</v>
      </c>
      <c r="Q45" s="222">
        <f t="shared" si="2"/>
        <v>1318277.3634155223</v>
      </c>
      <c r="R45" s="20">
        <v>-19494.581295706794</v>
      </c>
      <c r="S45" s="222">
        <f t="shared" si="3"/>
        <v>1298782.7821198155</v>
      </c>
      <c r="T45" s="20">
        <v>15000</v>
      </c>
      <c r="U45" s="20">
        <v>0</v>
      </c>
      <c r="V45" s="20">
        <v>0</v>
      </c>
      <c r="W45" s="20">
        <v>0</v>
      </c>
      <c r="X45" s="20">
        <v>0</v>
      </c>
      <c r="Y45" s="20">
        <f>SUMIF('Nursery Formula'!C:C,B45,'Nursery Formula'!AQ:AQ)</f>
        <v>0</v>
      </c>
      <c r="Z45" s="20">
        <v>0</v>
      </c>
      <c r="AA45" s="222">
        <f t="shared" si="1"/>
        <v>1313782.7821198155</v>
      </c>
      <c r="AC45" s="20">
        <v>0</v>
      </c>
      <c r="AE45" s="20">
        <f t="shared" si="4"/>
        <v>632536.80040429323</v>
      </c>
      <c r="AG45" s="20">
        <f>VLOOKUP($B45,Rates!$B:$F,5,FALSE)</f>
        <v>-134.08000000000001</v>
      </c>
      <c r="AH45" s="20">
        <f>VLOOKUP($B45,Rates!$B:$F,4,FALSE)</f>
        <v>12368.46</v>
      </c>
    </row>
    <row r="46" spans="1:34" s="20" customFormat="1" x14ac:dyDescent="0.2">
      <c r="A46" s="18" t="s">
        <v>88</v>
      </c>
      <c r="B46" s="216">
        <v>2439</v>
      </c>
      <c r="C46" s="20">
        <v>583653.55890000006</v>
      </c>
      <c r="D46" s="20">
        <v>21999.354853370274</v>
      </c>
      <c r="E46" s="20">
        <v>0</v>
      </c>
      <c r="F46" s="20">
        <v>0</v>
      </c>
      <c r="G46" s="20">
        <v>9004.041807547168</v>
      </c>
      <c r="H46" s="20">
        <v>0</v>
      </c>
      <c r="I46" s="20">
        <v>100000</v>
      </c>
      <c r="J46" s="20">
        <v>0</v>
      </c>
      <c r="K46" s="20">
        <v>8346.24</v>
      </c>
      <c r="L46" s="20">
        <v>0</v>
      </c>
      <c r="M46" s="222">
        <v>0</v>
      </c>
      <c r="N46" s="222">
        <f t="shared" si="0"/>
        <v>723003.19556091749</v>
      </c>
      <c r="O46" s="20">
        <v>0</v>
      </c>
      <c r="P46" s="20">
        <v>0</v>
      </c>
      <c r="Q46" s="222">
        <f t="shared" si="2"/>
        <v>723003.19556091749</v>
      </c>
      <c r="R46" s="20">
        <v>-17450.20572911582</v>
      </c>
      <c r="S46" s="222">
        <f t="shared" si="3"/>
        <v>705552.98983180162</v>
      </c>
      <c r="T46" s="20">
        <v>31510</v>
      </c>
      <c r="U46" s="20">
        <v>0</v>
      </c>
      <c r="V46" s="20">
        <v>0</v>
      </c>
      <c r="W46" s="20">
        <v>0</v>
      </c>
      <c r="X46" s="20">
        <v>0</v>
      </c>
      <c r="Y46" s="20">
        <f>SUMIF('Nursery Formula'!C:C,B46,'Nursery Formula'!AQ:AQ)</f>
        <v>0</v>
      </c>
      <c r="Z46" s="20">
        <v>0</v>
      </c>
      <c r="AA46" s="222">
        <f t="shared" si="1"/>
        <v>737062.98983180162</v>
      </c>
      <c r="AC46" s="20">
        <v>0</v>
      </c>
      <c r="AE46" s="20">
        <f t="shared" si="4"/>
        <v>566203.35317088419</v>
      </c>
      <c r="AG46" s="20">
        <f>VLOOKUP($B46,Rates!$B:$F,5,FALSE)</f>
        <v>-103.5</v>
      </c>
      <c r="AH46" s="20">
        <f>VLOOKUP($B46,Rates!$B:$F,4,FALSE)</f>
        <v>8449.74</v>
      </c>
    </row>
    <row r="47" spans="1:34" s="20" customFormat="1" x14ac:dyDescent="0.2">
      <c r="A47" s="18" t="s">
        <v>89</v>
      </c>
      <c r="B47" s="216">
        <v>2440</v>
      </c>
      <c r="C47" s="20">
        <v>710640.94410000008</v>
      </c>
      <c r="D47" s="20">
        <v>35170.203130232629</v>
      </c>
      <c r="E47" s="20">
        <v>0</v>
      </c>
      <c r="F47" s="20">
        <v>0</v>
      </c>
      <c r="G47" s="20">
        <v>2567.201400000009</v>
      </c>
      <c r="H47" s="20">
        <v>0</v>
      </c>
      <c r="I47" s="20">
        <v>100000</v>
      </c>
      <c r="J47" s="20">
        <v>0</v>
      </c>
      <c r="K47" s="20">
        <v>33674.14</v>
      </c>
      <c r="L47" s="20">
        <v>0</v>
      </c>
      <c r="M47" s="222">
        <v>0</v>
      </c>
      <c r="N47" s="222">
        <f t="shared" si="0"/>
        <v>882052.48863023275</v>
      </c>
      <c r="O47" s="20">
        <v>15833.535800486454</v>
      </c>
      <c r="P47" s="20">
        <v>0</v>
      </c>
      <c r="Q47" s="222">
        <f t="shared" si="2"/>
        <v>897886.0244307192</v>
      </c>
      <c r="R47" s="20">
        <v>-21246.903209927626</v>
      </c>
      <c r="S47" s="222">
        <f t="shared" si="3"/>
        <v>876639.1212207916</v>
      </c>
      <c r="T47" s="20">
        <v>0</v>
      </c>
      <c r="U47" s="20">
        <v>0</v>
      </c>
      <c r="V47" s="20">
        <v>0</v>
      </c>
      <c r="W47" s="20">
        <v>0</v>
      </c>
      <c r="X47" s="20">
        <v>0</v>
      </c>
      <c r="Y47" s="20">
        <f>SUMIF('Nursery Formula'!C:C,B47,'Nursery Formula'!AQ:AQ)</f>
        <v>0</v>
      </c>
      <c r="Z47" s="20">
        <v>0</v>
      </c>
      <c r="AA47" s="222">
        <f t="shared" si="1"/>
        <v>876639.1212207916</v>
      </c>
      <c r="AC47" s="20">
        <v>0</v>
      </c>
      <c r="AE47" s="20">
        <f t="shared" si="4"/>
        <v>689394.04089007247</v>
      </c>
      <c r="AG47" s="20">
        <f>VLOOKUP($B47,Rates!$B:$F,5,FALSE)</f>
        <v>-369.74</v>
      </c>
      <c r="AH47" s="20">
        <f>VLOOKUP($B47,Rates!$B:$F,4,FALSE)</f>
        <v>34043.879999999997</v>
      </c>
    </row>
    <row r="48" spans="1:34" s="20" customFormat="1" x14ac:dyDescent="0.2">
      <c r="A48" s="18" t="s">
        <v>163</v>
      </c>
      <c r="B48" s="216">
        <v>2462</v>
      </c>
      <c r="C48" s="20">
        <v>537254.32200000004</v>
      </c>
      <c r="D48" s="20">
        <v>52560.102225238086</v>
      </c>
      <c r="E48" s="20">
        <v>0</v>
      </c>
      <c r="F48" s="20">
        <v>0</v>
      </c>
      <c r="G48" s="20">
        <v>15296.241674999999</v>
      </c>
      <c r="H48" s="20">
        <v>0</v>
      </c>
      <c r="I48" s="20">
        <v>100000</v>
      </c>
      <c r="J48" s="20">
        <v>0</v>
      </c>
      <c r="K48" s="20">
        <v>13566.560000000001</v>
      </c>
      <c r="L48" s="20">
        <v>0</v>
      </c>
      <c r="M48" s="222">
        <v>0</v>
      </c>
      <c r="N48" s="222">
        <f t="shared" si="0"/>
        <v>718677.22590023826</v>
      </c>
      <c r="O48" s="20">
        <v>38318.891263030935</v>
      </c>
      <c r="P48" s="20">
        <v>0</v>
      </c>
      <c r="Q48" s="222">
        <f t="shared" si="2"/>
        <v>756996.1171632692</v>
      </c>
      <c r="R48" s="20">
        <v>-16062.950880357657</v>
      </c>
      <c r="S48" s="222">
        <f t="shared" si="3"/>
        <v>740933.16628291155</v>
      </c>
      <c r="T48" s="20">
        <v>11651</v>
      </c>
      <c r="U48" s="20">
        <v>0</v>
      </c>
      <c r="V48" s="20">
        <v>29281</v>
      </c>
      <c r="W48" s="20">
        <v>0</v>
      </c>
      <c r="X48" s="20">
        <v>0</v>
      </c>
      <c r="Y48" s="20">
        <f>SUMIF('Nursery Formula'!C:C,B48,'Nursery Formula'!AQ:AQ)</f>
        <v>98872.963600000003</v>
      </c>
      <c r="Z48" s="20">
        <v>0</v>
      </c>
      <c r="AA48" s="222">
        <f t="shared" si="1"/>
        <v>880738.12988291157</v>
      </c>
      <c r="AC48" s="20">
        <v>0</v>
      </c>
      <c r="AE48" s="20">
        <f t="shared" si="4"/>
        <v>521191.3711196424</v>
      </c>
      <c r="AG48" s="20">
        <f>VLOOKUP($B48,Rates!$B:$F,5,FALSE)</f>
        <v>-148.96</v>
      </c>
      <c r="AH48" s="20">
        <f>VLOOKUP($B48,Rates!$B:$F,4,FALSE)</f>
        <v>13715.52</v>
      </c>
    </row>
    <row r="49" spans="1:34" s="20" customFormat="1" x14ac:dyDescent="0.2">
      <c r="A49" s="18" t="s">
        <v>91</v>
      </c>
      <c r="B49" s="216">
        <v>2463</v>
      </c>
      <c r="C49" s="20">
        <v>761924.31120000011</v>
      </c>
      <c r="D49" s="20">
        <v>75177.537815685326</v>
      </c>
      <c r="E49" s="20">
        <v>0</v>
      </c>
      <c r="F49" s="20">
        <v>0</v>
      </c>
      <c r="G49" s="20">
        <v>15403.208400000003</v>
      </c>
      <c r="H49" s="20">
        <v>0</v>
      </c>
      <c r="I49" s="20">
        <v>100000</v>
      </c>
      <c r="J49" s="20">
        <v>0</v>
      </c>
      <c r="K49" s="20">
        <v>13566.560000000001</v>
      </c>
      <c r="L49" s="20">
        <v>0</v>
      </c>
      <c r="M49" s="222">
        <v>0</v>
      </c>
      <c r="N49" s="222">
        <f t="shared" si="0"/>
        <v>966071.61741568556</v>
      </c>
      <c r="O49" s="20">
        <v>0</v>
      </c>
      <c r="P49" s="20">
        <v>0</v>
      </c>
      <c r="Q49" s="222">
        <f t="shared" si="2"/>
        <v>966071.61741568556</v>
      </c>
      <c r="R49" s="20">
        <v>-22780.184884870858</v>
      </c>
      <c r="S49" s="222">
        <f t="shared" si="3"/>
        <v>943291.43253081467</v>
      </c>
      <c r="T49" s="20">
        <v>0</v>
      </c>
      <c r="U49" s="20">
        <v>0</v>
      </c>
      <c r="V49" s="20">
        <v>21022</v>
      </c>
      <c r="W49" s="20">
        <v>0</v>
      </c>
      <c r="X49" s="20">
        <v>0</v>
      </c>
      <c r="Y49" s="20">
        <f>SUMIF('Nursery Formula'!C:C,B49,'Nursery Formula'!AQ:AQ)</f>
        <v>0</v>
      </c>
      <c r="Z49" s="20">
        <v>0</v>
      </c>
      <c r="AA49" s="222">
        <f t="shared" si="1"/>
        <v>964313.43253081467</v>
      </c>
      <c r="AC49" s="20">
        <v>0</v>
      </c>
      <c r="AE49" s="20">
        <f t="shared" si="4"/>
        <v>739144.12631512922</v>
      </c>
      <c r="AG49" s="20">
        <f>VLOOKUP($B49,Rates!$B:$F,5,FALSE)</f>
        <v>-148.96</v>
      </c>
      <c r="AH49" s="20">
        <f>VLOOKUP($B49,Rates!$B:$F,4,FALSE)</f>
        <v>13715.52</v>
      </c>
    </row>
    <row r="50" spans="1:34" s="20" customFormat="1" x14ac:dyDescent="0.2">
      <c r="A50" s="18" t="s">
        <v>92</v>
      </c>
      <c r="B50" s="216">
        <v>2505</v>
      </c>
      <c r="C50" s="20">
        <v>1106255.4903000002</v>
      </c>
      <c r="D50" s="20">
        <v>332933.39739206852</v>
      </c>
      <c r="E50" s="20">
        <v>0</v>
      </c>
      <c r="F50" s="20">
        <v>0</v>
      </c>
      <c r="G50" s="20">
        <v>67684.468657143007</v>
      </c>
      <c r="H50" s="20">
        <v>839.77600000018083</v>
      </c>
      <c r="I50" s="20">
        <v>100000</v>
      </c>
      <c r="J50" s="20">
        <v>0</v>
      </c>
      <c r="K50" s="20">
        <v>28344.87</v>
      </c>
      <c r="L50" s="20">
        <v>0</v>
      </c>
      <c r="M50" s="222">
        <v>0</v>
      </c>
      <c r="N50" s="222">
        <f t="shared" si="0"/>
        <v>1636058.0023492118</v>
      </c>
      <c r="O50" s="20">
        <v>40405.698888079729</v>
      </c>
      <c r="P50" s="20">
        <v>0</v>
      </c>
      <c r="Q50" s="222">
        <f t="shared" si="2"/>
        <v>1676463.7012372916</v>
      </c>
      <c r="R50" s="20">
        <v>-33075.076130918264</v>
      </c>
      <c r="S50" s="222">
        <f t="shared" si="3"/>
        <v>1643388.6251063733</v>
      </c>
      <c r="T50" s="20">
        <v>38114</v>
      </c>
      <c r="U50" s="20">
        <v>0</v>
      </c>
      <c r="V50" s="20">
        <v>9010</v>
      </c>
      <c r="W50" s="20">
        <v>0</v>
      </c>
      <c r="X50" s="20">
        <v>0</v>
      </c>
      <c r="Y50" s="20">
        <f>SUMIF('Nursery Formula'!C:C,B50,'Nursery Formula'!AQ:AQ)</f>
        <v>197387.04579999996</v>
      </c>
      <c r="Z50" s="20">
        <v>0</v>
      </c>
      <c r="AA50" s="222">
        <f t="shared" si="1"/>
        <v>1887899.6709063733</v>
      </c>
      <c r="AC50" s="20">
        <v>0</v>
      </c>
      <c r="AE50" s="20">
        <f t="shared" si="4"/>
        <v>1073180.414169082</v>
      </c>
      <c r="AG50" s="20">
        <f>VLOOKUP($B50,Rates!$B:$F,5,FALSE)</f>
        <v>-310.77</v>
      </c>
      <c r="AH50" s="20">
        <f>VLOOKUP($B50,Rates!$B:$F,4,FALSE)</f>
        <v>28655.64</v>
      </c>
    </row>
    <row r="51" spans="1:34" s="20" customFormat="1" x14ac:dyDescent="0.2">
      <c r="A51" s="18" t="s">
        <v>93</v>
      </c>
      <c r="B51" s="216">
        <v>2000</v>
      </c>
      <c r="C51" s="20">
        <v>683778.22800000012</v>
      </c>
      <c r="D51" s="20">
        <v>183707.71011937343</v>
      </c>
      <c r="E51" s="20">
        <v>1288.7778095238093</v>
      </c>
      <c r="F51" s="20">
        <v>0</v>
      </c>
      <c r="G51" s="20">
        <v>16336.736181818187</v>
      </c>
      <c r="H51" s="20">
        <v>14709.801830065486</v>
      </c>
      <c r="I51" s="20">
        <v>100000</v>
      </c>
      <c r="J51" s="20">
        <v>0</v>
      </c>
      <c r="K51" s="20">
        <v>16110.29</v>
      </c>
      <c r="L51" s="20">
        <v>0</v>
      </c>
      <c r="M51" s="222">
        <v>0</v>
      </c>
      <c r="N51" s="222">
        <f t="shared" si="0"/>
        <v>1015931.543940781</v>
      </c>
      <c r="O51" s="20">
        <v>0</v>
      </c>
      <c r="P51" s="20">
        <v>0</v>
      </c>
      <c r="Q51" s="222">
        <f t="shared" si="2"/>
        <v>1015931.543940781</v>
      </c>
      <c r="R51" s="20">
        <v>-20443.755665909746</v>
      </c>
      <c r="S51" s="222">
        <f t="shared" si="3"/>
        <v>995487.7882748713</v>
      </c>
      <c r="T51" s="20">
        <v>39718</v>
      </c>
      <c r="U51" s="20">
        <v>437022.23</v>
      </c>
      <c r="V51" s="20">
        <v>15016</v>
      </c>
      <c r="W51" s="20">
        <v>0</v>
      </c>
      <c r="X51" s="20">
        <v>0</v>
      </c>
      <c r="Y51" s="20">
        <f>SUMIF('Nursery Formula'!C:C,B51,'Nursery Formula'!AQ:AQ)</f>
        <v>103396.2022</v>
      </c>
      <c r="Z51" s="20">
        <v>0</v>
      </c>
      <c r="AA51" s="222">
        <f t="shared" si="1"/>
        <v>1590640.2204748711</v>
      </c>
      <c r="AC51" s="20">
        <v>0</v>
      </c>
      <c r="AE51" s="20">
        <f t="shared" si="4"/>
        <v>663334.47233409039</v>
      </c>
      <c r="AG51" s="20">
        <f>VLOOKUP($B51,Rates!$B:$F,5,FALSE)</f>
        <v>-176.89</v>
      </c>
      <c r="AH51" s="20">
        <f>VLOOKUP($B51,Rates!$B:$F,4,FALSE)</f>
        <v>16287.18</v>
      </c>
    </row>
    <row r="52" spans="1:34" s="20" customFormat="1" x14ac:dyDescent="0.2">
      <c r="A52" s="18" t="s">
        <v>94</v>
      </c>
      <c r="B52" s="216">
        <v>2458</v>
      </c>
      <c r="C52" s="20">
        <v>659357.57700000005</v>
      </c>
      <c r="D52" s="20">
        <v>81433.246927797154</v>
      </c>
      <c r="E52" s="20">
        <v>1363.3153320895522</v>
      </c>
      <c r="F52" s="20">
        <v>0</v>
      </c>
      <c r="G52" s="20">
        <v>103971.65669999999</v>
      </c>
      <c r="H52" s="20">
        <v>0</v>
      </c>
      <c r="I52" s="20">
        <v>100000</v>
      </c>
      <c r="J52" s="20">
        <v>0</v>
      </c>
      <c r="K52" s="20">
        <v>3270.74</v>
      </c>
      <c r="L52" s="20">
        <v>0</v>
      </c>
      <c r="M52" s="222">
        <v>0</v>
      </c>
      <c r="N52" s="222">
        <f t="shared" si="0"/>
        <v>949396.53595988662</v>
      </c>
      <c r="O52" s="20">
        <v>0</v>
      </c>
      <c r="P52" s="20">
        <v>-25569.948320438289</v>
      </c>
      <c r="Q52" s="222">
        <f t="shared" si="2"/>
        <v>923826.58763944835</v>
      </c>
      <c r="R52" s="20">
        <v>-19713.621534984399</v>
      </c>
      <c r="S52" s="222">
        <f t="shared" si="3"/>
        <v>904112.96610446391</v>
      </c>
      <c r="T52" s="20">
        <v>15000</v>
      </c>
      <c r="U52" s="20">
        <v>0</v>
      </c>
      <c r="V52" s="20">
        <v>27028</v>
      </c>
      <c r="W52" s="20">
        <v>0</v>
      </c>
      <c r="X52" s="20">
        <v>0</v>
      </c>
      <c r="Y52" s="20">
        <f>SUMIF('Nursery Formula'!C:C,B52,'Nursery Formula'!AQ:AQ)</f>
        <v>0</v>
      </c>
      <c r="Z52" s="20">
        <v>0</v>
      </c>
      <c r="AA52" s="222">
        <f t="shared" si="1"/>
        <v>946140.96610446391</v>
      </c>
      <c r="AC52" s="20">
        <v>0</v>
      </c>
      <c r="AE52" s="20">
        <f t="shared" si="4"/>
        <v>639643.95546501561</v>
      </c>
      <c r="AG52" s="20">
        <f>VLOOKUP($B52,Rates!$B:$F,5,FALSE)</f>
        <v>16.239999999999998</v>
      </c>
      <c r="AH52" s="20">
        <f>VLOOKUP($B52,Rates!$B:$F,4,FALSE)</f>
        <v>3254.5</v>
      </c>
    </row>
    <row r="53" spans="1:34" s="20" customFormat="1" x14ac:dyDescent="0.2">
      <c r="A53" s="18" t="s">
        <v>95</v>
      </c>
      <c r="B53" s="216">
        <v>2001</v>
      </c>
      <c r="C53" s="20">
        <v>808323.54810000013</v>
      </c>
      <c r="D53" s="20">
        <v>403228.07755342504</v>
      </c>
      <c r="E53" s="20">
        <v>4362.8057892857141</v>
      </c>
      <c r="F53" s="20">
        <v>0</v>
      </c>
      <c r="G53" s="20">
        <v>20159.992014234878</v>
      </c>
      <c r="H53" s="20">
        <v>5878.4320000001971</v>
      </c>
      <c r="I53" s="20">
        <v>100000</v>
      </c>
      <c r="J53" s="20">
        <v>0</v>
      </c>
      <c r="K53" s="20">
        <v>18290.629999999997</v>
      </c>
      <c r="L53" s="20">
        <v>0</v>
      </c>
      <c r="M53" s="222">
        <v>0</v>
      </c>
      <c r="N53" s="222">
        <f t="shared" si="0"/>
        <v>1360243.4854569461</v>
      </c>
      <c r="O53" s="20">
        <v>2497.0290674713906</v>
      </c>
      <c r="P53" s="20">
        <v>0</v>
      </c>
      <c r="Q53" s="222">
        <f t="shared" si="2"/>
        <v>1362740.5145244175</v>
      </c>
      <c r="R53" s="20">
        <v>-24167.43973362902</v>
      </c>
      <c r="S53" s="222">
        <f t="shared" si="3"/>
        <v>1338573.0747907883</v>
      </c>
      <c r="T53" s="20">
        <v>26510</v>
      </c>
      <c r="U53" s="20">
        <v>0</v>
      </c>
      <c r="V53" s="20">
        <v>19145</v>
      </c>
      <c r="W53" s="20">
        <v>0</v>
      </c>
      <c r="X53" s="20">
        <v>0</v>
      </c>
      <c r="Y53" s="20">
        <f>SUMIF('Nursery Formula'!C:C,B53,'Nursery Formula'!AQ:AQ)</f>
        <v>136103.78519999998</v>
      </c>
      <c r="Z53" s="20">
        <v>0</v>
      </c>
      <c r="AA53" s="222">
        <f t="shared" si="1"/>
        <v>1520331.8599907884</v>
      </c>
      <c r="AC53" s="20">
        <v>0</v>
      </c>
      <c r="AE53" s="20">
        <f t="shared" si="4"/>
        <v>784156.10836637113</v>
      </c>
      <c r="AG53" s="20">
        <f>VLOOKUP($B53,Rates!$B:$F,5,FALSE)</f>
        <v>-200.83</v>
      </c>
      <c r="AH53" s="20">
        <f>VLOOKUP($B53,Rates!$B:$F,4,FALSE)</f>
        <v>18491.46</v>
      </c>
    </row>
    <row r="54" spans="1:34" s="20" customFormat="1" x14ac:dyDescent="0.2">
      <c r="A54" s="18" t="s">
        <v>96</v>
      </c>
      <c r="B54" s="216">
        <v>2429</v>
      </c>
      <c r="C54" s="20">
        <v>378520.09050000005</v>
      </c>
      <c r="D54" s="20">
        <v>121825.80340032063</v>
      </c>
      <c r="E54" s="20">
        <v>2796.6478466666667</v>
      </c>
      <c r="F54" s="20">
        <v>0</v>
      </c>
      <c r="G54" s="20">
        <v>101058.08685714286</v>
      </c>
      <c r="H54" s="20">
        <v>0</v>
      </c>
      <c r="I54" s="20">
        <v>100000</v>
      </c>
      <c r="J54" s="20">
        <v>0</v>
      </c>
      <c r="K54" s="20">
        <v>8963.6200000000008</v>
      </c>
      <c r="L54" s="20">
        <v>0</v>
      </c>
      <c r="M54" s="222">
        <v>0</v>
      </c>
      <c r="N54" s="222">
        <f t="shared" si="0"/>
        <v>713164.24860413023</v>
      </c>
      <c r="O54" s="20">
        <v>0</v>
      </c>
      <c r="P54" s="20">
        <v>0</v>
      </c>
      <c r="Q54" s="222">
        <f t="shared" si="2"/>
        <v>713164.24860413023</v>
      </c>
      <c r="R54" s="20">
        <v>-11317.079029342895</v>
      </c>
      <c r="S54" s="222">
        <f t="shared" si="3"/>
        <v>701847.16957478737</v>
      </c>
      <c r="T54" s="20">
        <v>26510</v>
      </c>
      <c r="U54" s="20">
        <v>0</v>
      </c>
      <c r="V54" s="20">
        <v>0</v>
      </c>
      <c r="W54" s="20">
        <v>0</v>
      </c>
      <c r="X54" s="20">
        <v>0</v>
      </c>
      <c r="Y54" s="20">
        <f>SUMIF('Nursery Formula'!C:C,B54,'Nursery Formula'!AQ:AQ)</f>
        <v>119520.07979999998</v>
      </c>
      <c r="Z54" s="20">
        <v>0</v>
      </c>
      <c r="AA54" s="222">
        <f t="shared" si="1"/>
        <v>847877.24937478732</v>
      </c>
      <c r="AC54" s="20">
        <v>0</v>
      </c>
      <c r="AE54" s="20">
        <f t="shared" si="4"/>
        <v>367203.01147065713</v>
      </c>
      <c r="AG54" s="20">
        <f>VLOOKUP($B54,Rates!$B:$F,5,FALSE)</f>
        <v>-98.42</v>
      </c>
      <c r="AH54" s="20">
        <f>VLOOKUP($B54,Rates!$B:$F,4,FALSE)</f>
        <v>9062.0400000000009</v>
      </c>
    </row>
    <row r="55" spans="1:34" s="20" customFormat="1" x14ac:dyDescent="0.2">
      <c r="A55" s="18" t="s">
        <v>97</v>
      </c>
      <c r="B55" s="216">
        <v>2444</v>
      </c>
      <c r="C55" s="20">
        <v>510391.60590000008</v>
      </c>
      <c r="D55" s="20">
        <v>126274.07820974986</v>
      </c>
      <c r="E55" s="20">
        <v>1359.7225495192306</v>
      </c>
      <c r="F55" s="20">
        <v>0</v>
      </c>
      <c r="G55" s="20">
        <v>11497.394841428571</v>
      </c>
      <c r="H55" s="20">
        <v>0</v>
      </c>
      <c r="I55" s="20">
        <v>100000</v>
      </c>
      <c r="J55" s="20">
        <v>0</v>
      </c>
      <c r="K55" s="20">
        <v>9327.01</v>
      </c>
      <c r="L55" s="20">
        <v>0</v>
      </c>
      <c r="M55" s="222">
        <v>0</v>
      </c>
      <c r="N55" s="222">
        <f t="shared" si="0"/>
        <v>758849.81150069786</v>
      </c>
      <c r="O55" s="20">
        <v>3191.4065783275291</v>
      </c>
      <c r="P55" s="20">
        <v>0</v>
      </c>
      <c r="Q55" s="222">
        <f t="shared" si="2"/>
        <v>762041.21807902539</v>
      </c>
      <c r="R55" s="20">
        <v>-15259.803336339774</v>
      </c>
      <c r="S55" s="222">
        <f t="shared" si="3"/>
        <v>746781.41474268562</v>
      </c>
      <c r="T55" s="20">
        <v>49671</v>
      </c>
      <c r="U55" s="20">
        <v>0</v>
      </c>
      <c r="V55" s="20">
        <v>25151</v>
      </c>
      <c r="W55" s="20">
        <v>0</v>
      </c>
      <c r="X55" s="20">
        <v>0</v>
      </c>
      <c r="Y55" s="20">
        <f>SUMIF('Nursery Formula'!C:C,B55,'Nursery Formula'!AQ:AQ)</f>
        <v>113926.443</v>
      </c>
      <c r="Z55" s="20">
        <v>0</v>
      </c>
      <c r="AA55" s="222">
        <f t="shared" si="1"/>
        <v>935529.85774268559</v>
      </c>
      <c r="AC55" s="20">
        <v>0</v>
      </c>
      <c r="AE55" s="20">
        <f t="shared" si="4"/>
        <v>495131.80256366031</v>
      </c>
      <c r="AG55" s="20">
        <f>VLOOKUP($B55,Rates!$B:$F,5,FALSE)</f>
        <v>-102.41</v>
      </c>
      <c r="AH55" s="20">
        <f>VLOOKUP($B55,Rates!$B:$F,4,FALSE)</f>
        <v>9429.42</v>
      </c>
    </row>
    <row r="56" spans="1:34" s="20" customFormat="1" x14ac:dyDescent="0.2">
      <c r="A56" s="18" t="s">
        <v>98</v>
      </c>
      <c r="B56" s="216">
        <v>5209</v>
      </c>
      <c r="C56" s="20">
        <v>659357.57700000005</v>
      </c>
      <c r="D56" s="20">
        <v>202247.26906896688</v>
      </c>
      <c r="E56" s="20">
        <v>0</v>
      </c>
      <c r="F56" s="20">
        <v>0</v>
      </c>
      <c r="G56" s="20">
        <v>5990.1365999999935</v>
      </c>
      <c r="H56" s="20">
        <v>0</v>
      </c>
      <c r="I56" s="20">
        <v>100000</v>
      </c>
      <c r="J56" s="20">
        <v>0</v>
      </c>
      <c r="K56" s="20">
        <v>2552.31</v>
      </c>
      <c r="L56" s="20">
        <v>0</v>
      </c>
      <c r="M56" s="222">
        <v>0</v>
      </c>
      <c r="N56" s="222">
        <f t="shared" si="0"/>
        <v>970147.29266896693</v>
      </c>
      <c r="O56" s="20">
        <v>22780.01539192663</v>
      </c>
      <c r="P56" s="20">
        <v>0</v>
      </c>
      <c r="Q56" s="222">
        <f t="shared" si="2"/>
        <v>992927.30806089356</v>
      </c>
      <c r="R56" s="20">
        <v>-19713.621534984399</v>
      </c>
      <c r="S56" s="222">
        <f t="shared" si="3"/>
        <v>973213.68652590911</v>
      </c>
      <c r="T56" s="20">
        <v>0</v>
      </c>
      <c r="U56" s="20">
        <v>0</v>
      </c>
      <c r="V56" s="20">
        <v>3754</v>
      </c>
      <c r="W56" s="20">
        <v>0</v>
      </c>
      <c r="X56" s="20">
        <v>0</v>
      </c>
      <c r="Y56" s="20">
        <f>SUMIF('Nursery Formula'!C:C,B56,'Nursery Formula'!AQ:AQ)</f>
        <v>0</v>
      </c>
      <c r="Z56" s="20">
        <v>0</v>
      </c>
      <c r="AA56" s="222">
        <f t="shared" si="1"/>
        <v>976967.68652590911</v>
      </c>
      <c r="AC56" s="20">
        <v>0</v>
      </c>
      <c r="AE56" s="20">
        <f t="shared" si="4"/>
        <v>639643.95546501561</v>
      </c>
      <c r="AG56" s="20">
        <f>VLOOKUP($B56,Rates!$B:$F,5,FALSE)</f>
        <v>78.62</v>
      </c>
      <c r="AH56" s="20">
        <f>VLOOKUP($B56,Rates!$B:$F,4,FALSE)</f>
        <v>2473.69</v>
      </c>
    </row>
    <row r="57" spans="1:34" s="20" customFormat="1" x14ac:dyDescent="0.2">
      <c r="A57" s="18" t="s">
        <v>99</v>
      </c>
      <c r="B57" s="216">
        <v>2469</v>
      </c>
      <c r="C57" s="20">
        <v>1006130.8212000001</v>
      </c>
      <c r="D57" s="20">
        <v>79533.617922815829</v>
      </c>
      <c r="E57" s="20">
        <v>1404.3457944584384</v>
      </c>
      <c r="F57" s="20">
        <v>0</v>
      </c>
      <c r="G57" s="20">
        <v>30961.564004532578</v>
      </c>
      <c r="H57" s="20">
        <v>27352.704000000143</v>
      </c>
      <c r="I57" s="20">
        <v>100000</v>
      </c>
      <c r="J57" s="20">
        <v>0</v>
      </c>
      <c r="K57" s="20">
        <v>14172.21</v>
      </c>
      <c r="L57" s="20">
        <v>0</v>
      </c>
      <c r="M57" s="222">
        <v>0</v>
      </c>
      <c r="N57" s="222">
        <f t="shared" si="0"/>
        <v>1259555.2629218069</v>
      </c>
      <c r="O57" s="20">
        <v>9768.1053069259506</v>
      </c>
      <c r="P57" s="20">
        <v>0</v>
      </c>
      <c r="Q57" s="222">
        <f t="shared" si="2"/>
        <v>1269323.3682287328</v>
      </c>
      <c r="R57" s="20">
        <v>-30081.526194124341</v>
      </c>
      <c r="S57" s="222">
        <f t="shared" si="3"/>
        <v>1239241.8420346086</v>
      </c>
      <c r="T57" s="20">
        <v>11651</v>
      </c>
      <c r="U57" s="20">
        <v>0</v>
      </c>
      <c r="V57" s="20">
        <v>28530</v>
      </c>
      <c r="W57" s="20">
        <v>12013</v>
      </c>
      <c r="X57" s="20">
        <v>0</v>
      </c>
      <c r="Y57" s="20">
        <f>SUMIF('Nursery Formula'!C:C,B57,'Nursery Formula'!AQ:AQ)</f>
        <v>0</v>
      </c>
      <c r="Z57" s="20">
        <v>0</v>
      </c>
      <c r="AA57" s="222">
        <f t="shared" si="1"/>
        <v>1291435.8420346086</v>
      </c>
      <c r="AC57" s="20">
        <v>0</v>
      </c>
      <c r="AE57" s="20">
        <f t="shared" si="4"/>
        <v>976049.29500587576</v>
      </c>
      <c r="AG57" s="20">
        <f>VLOOKUP($B57,Rates!$B:$F,5,FALSE)</f>
        <v>-155.61000000000001</v>
      </c>
      <c r="AH57" s="20">
        <f>VLOOKUP($B57,Rates!$B:$F,4,FALSE)</f>
        <v>14327.82</v>
      </c>
    </row>
    <row r="58" spans="1:34" s="20" customFormat="1" x14ac:dyDescent="0.2">
      <c r="A58" s="582" t="s">
        <v>790</v>
      </c>
      <c r="B58" s="216">
        <v>2430</v>
      </c>
      <c r="C58" s="20">
        <v>275953.35630000004</v>
      </c>
      <c r="D58" s="20">
        <v>143364.03266487946</v>
      </c>
      <c r="E58" s="20">
        <v>0</v>
      </c>
      <c r="F58" s="20">
        <v>0</v>
      </c>
      <c r="G58" s="20">
        <v>28073.589503225772</v>
      </c>
      <c r="H58" s="20">
        <v>3239.136000000065</v>
      </c>
      <c r="I58" s="20">
        <v>100000</v>
      </c>
      <c r="J58" s="20">
        <v>0</v>
      </c>
      <c r="K58" s="20">
        <v>19501.93</v>
      </c>
      <c r="L58" s="20">
        <v>22445</v>
      </c>
      <c r="M58" s="222">
        <v>0</v>
      </c>
      <c r="N58" s="222">
        <f t="shared" si="0"/>
        <v>592577.04446810542</v>
      </c>
      <c r="O58" s="20">
        <v>12794.543092832959</v>
      </c>
      <c r="P58" s="20">
        <v>0</v>
      </c>
      <c r="Q58" s="222">
        <f t="shared" si="2"/>
        <v>605371.58756093844</v>
      </c>
      <c r="R58" s="20">
        <v>-8250.5156794564336</v>
      </c>
      <c r="S58" s="222">
        <f t="shared" si="3"/>
        <v>597121.07188148203</v>
      </c>
      <c r="T58" s="20">
        <v>21510</v>
      </c>
      <c r="U58" s="20">
        <v>0</v>
      </c>
      <c r="V58" s="20">
        <v>3754</v>
      </c>
      <c r="W58" s="20">
        <v>0</v>
      </c>
      <c r="X58" s="20">
        <v>0</v>
      </c>
      <c r="Y58" s="20">
        <f>SUMIF('Nursery Formula'!C:C,B58,'Nursery Formula'!AQ:AQ)</f>
        <v>56968.458200000008</v>
      </c>
      <c r="Z58" s="20">
        <v>0</v>
      </c>
      <c r="AA58" s="222">
        <f t="shared" si="1"/>
        <v>679353.53008148202</v>
      </c>
      <c r="AC58" s="20">
        <v>0</v>
      </c>
      <c r="AE58" s="20">
        <f t="shared" si="4"/>
        <v>267702.84062054363</v>
      </c>
      <c r="AG58" s="20">
        <f>VLOOKUP($B58,Rates!$B:$F,5,FALSE)</f>
        <v>-214.13</v>
      </c>
      <c r="AH58" s="20">
        <f>VLOOKUP($B58,Rates!$B:$F,4,FALSE)</f>
        <v>19716.060000000001</v>
      </c>
    </row>
    <row r="59" spans="1:34" s="20" customFormat="1" x14ac:dyDescent="0.2">
      <c r="A59" s="18" t="s">
        <v>101</v>
      </c>
      <c r="B59" s="216">
        <v>2466</v>
      </c>
      <c r="C59" s="20">
        <v>400498.67640000005</v>
      </c>
      <c r="D59" s="20">
        <v>76052.591240911162</v>
      </c>
      <c r="E59" s="20">
        <v>2673.8257686746988</v>
      </c>
      <c r="F59" s="20">
        <v>0</v>
      </c>
      <c r="G59" s="20">
        <v>5651.288987919459</v>
      </c>
      <c r="H59" s="20">
        <v>17360.075294117636</v>
      </c>
      <c r="I59" s="20">
        <v>100000</v>
      </c>
      <c r="J59" s="20">
        <v>0</v>
      </c>
      <c r="K59" s="20">
        <v>12113</v>
      </c>
      <c r="L59" s="20">
        <v>0</v>
      </c>
      <c r="M59" s="222">
        <v>0</v>
      </c>
      <c r="N59" s="222">
        <f t="shared" si="0"/>
        <v>614349.45769162301</v>
      </c>
      <c r="O59" s="20">
        <v>0</v>
      </c>
      <c r="P59" s="20">
        <v>0</v>
      </c>
      <c r="Q59" s="222">
        <f t="shared" si="2"/>
        <v>614349.45769162301</v>
      </c>
      <c r="R59" s="20">
        <v>-11974.199747175708</v>
      </c>
      <c r="S59" s="222">
        <f t="shared" si="3"/>
        <v>602375.25794444734</v>
      </c>
      <c r="T59" s="20">
        <v>19859</v>
      </c>
      <c r="U59" s="20">
        <v>128485.08</v>
      </c>
      <c r="V59" s="20">
        <v>33034</v>
      </c>
      <c r="W59" s="20">
        <v>0</v>
      </c>
      <c r="X59" s="20">
        <v>0</v>
      </c>
      <c r="Y59" s="20">
        <f>SUMIF('Nursery Formula'!C:C,B59,'Nursery Formula'!AQ:AQ)</f>
        <v>0</v>
      </c>
      <c r="Z59" s="20">
        <v>0</v>
      </c>
      <c r="AA59" s="222">
        <f t="shared" si="1"/>
        <v>783753.3379444473</v>
      </c>
      <c r="AC59" s="20">
        <v>0</v>
      </c>
      <c r="AE59" s="20">
        <f t="shared" si="4"/>
        <v>388524.47665282432</v>
      </c>
      <c r="AG59" s="20">
        <f>VLOOKUP($B59,Rates!$B:$F,5,FALSE)</f>
        <v>-133</v>
      </c>
      <c r="AH59" s="20">
        <f>VLOOKUP($B59,Rates!$B:$F,4,FALSE)</f>
        <v>12246</v>
      </c>
    </row>
    <row r="60" spans="1:34" s="20" customFormat="1" x14ac:dyDescent="0.2">
      <c r="A60" s="18" t="s">
        <v>102</v>
      </c>
      <c r="B60" s="216">
        <v>3543</v>
      </c>
      <c r="C60" s="20">
        <v>715525.07430000009</v>
      </c>
      <c r="D60" s="20">
        <v>119626.39372590552</v>
      </c>
      <c r="E60" s="20">
        <v>0</v>
      </c>
      <c r="F60" s="20">
        <v>0</v>
      </c>
      <c r="G60" s="20">
        <v>22242.177720967731</v>
      </c>
      <c r="H60" s="20">
        <v>0</v>
      </c>
      <c r="I60" s="20">
        <v>100000</v>
      </c>
      <c r="J60" s="20">
        <v>0</v>
      </c>
      <c r="K60" s="20">
        <v>3183.5099999999998</v>
      </c>
      <c r="L60" s="20">
        <v>0</v>
      </c>
      <c r="M60" s="222">
        <v>0</v>
      </c>
      <c r="N60" s="222">
        <f t="shared" si="0"/>
        <v>960577.15574687335</v>
      </c>
      <c r="O60" s="20">
        <v>0</v>
      </c>
      <c r="P60" s="20">
        <v>0</v>
      </c>
      <c r="Q60" s="222">
        <f t="shared" si="2"/>
        <v>960577.15574687335</v>
      </c>
      <c r="R60" s="20">
        <v>-21392.930036112699</v>
      </c>
      <c r="S60" s="222">
        <f t="shared" si="3"/>
        <v>939184.22571076069</v>
      </c>
      <c r="T60" s="20">
        <v>34765</v>
      </c>
      <c r="U60" s="20">
        <v>0</v>
      </c>
      <c r="V60" s="20">
        <v>36038</v>
      </c>
      <c r="W60" s="20">
        <v>0</v>
      </c>
      <c r="X60" s="20">
        <v>0</v>
      </c>
      <c r="Y60" s="20">
        <f>SUMIF('Nursery Formula'!C:C,B60,'Nursery Formula'!AQ:AQ)</f>
        <v>93750.019000000015</v>
      </c>
      <c r="Z60" s="20">
        <v>0</v>
      </c>
      <c r="AA60" s="222">
        <f t="shared" si="1"/>
        <v>1103737.2447107607</v>
      </c>
      <c r="AC60" s="20">
        <v>0</v>
      </c>
      <c r="AE60" s="20">
        <f t="shared" si="4"/>
        <v>694132.14426388743</v>
      </c>
      <c r="AG60" s="20">
        <f>VLOOKUP($B60,Rates!$B:$F,5,FALSE)</f>
        <v>97.52</v>
      </c>
      <c r="AH60" s="20">
        <f>VLOOKUP($B60,Rates!$B:$F,4,FALSE)</f>
        <v>3085.99</v>
      </c>
    </row>
    <row r="61" spans="1:34" s="20" customFormat="1" x14ac:dyDescent="0.2">
      <c r="A61" s="18" t="s">
        <v>104</v>
      </c>
      <c r="B61" s="216">
        <v>3531</v>
      </c>
      <c r="C61" s="20">
        <v>854722.78500000003</v>
      </c>
      <c r="D61" s="20">
        <v>220274.52151034499</v>
      </c>
      <c r="E61" s="20">
        <v>0</v>
      </c>
      <c r="F61" s="20">
        <v>0</v>
      </c>
      <c r="G61" s="20">
        <v>21963.83419999999</v>
      </c>
      <c r="H61" s="20">
        <v>0</v>
      </c>
      <c r="I61" s="20">
        <v>100000</v>
      </c>
      <c r="J61" s="20">
        <v>0</v>
      </c>
      <c r="K61" s="20">
        <v>3183.2099999999996</v>
      </c>
      <c r="L61" s="20">
        <v>0</v>
      </c>
      <c r="M61" s="222">
        <v>0</v>
      </c>
      <c r="N61" s="222">
        <f t="shared" si="0"/>
        <v>1200144.350710345</v>
      </c>
      <c r="O61" s="20">
        <v>34864.922217817046</v>
      </c>
      <c r="P61" s="20">
        <v>0</v>
      </c>
      <c r="Q61" s="222">
        <f t="shared" si="2"/>
        <v>1235009.272928162</v>
      </c>
      <c r="R61" s="20">
        <v>0</v>
      </c>
      <c r="S61" s="222">
        <f t="shared" si="3"/>
        <v>1235009.272928162</v>
      </c>
      <c r="T61" s="20">
        <v>26510</v>
      </c>
      <c r="U61" s="20">
        <v>0</v>
      </c>
      <c r="V61" s="20">
        <v>2502</v>
      </c>
      <c r="W61" s="20">
        <v>0</v>
      </c>
      <c r="X61" s="20">
        <v>0</v>
      </c>
      <c r="Y61" s="20">
        <f>SUMIF('Nursery Formula'!C:C,B61,'Nursery Formula'!AQ:AQ)</f>
        <v>0</v>
      </c>
      <c r="Z61" s="20">
        <v>0</v>
      </c>
      <c r="AA61" s="222">
        <f t="shared" si="1"/>
        <v>1264021.272928162</v>
      </c>
      <c r="AC61" s="20">
        <v>0</v>
      </c>
      <c r="AE61" s="20">
        <f t="shared" si="4"/>
        <v>854722.78500000003</v>
      </c>
      <c r="AG61" s="20">
        <f>VLOOKUP($B61,Rates!$B:$F,5,FALSE)</f>
        <v>97.22</v>
      </c>
      <c r="AH61" s="20">
        <f>VLOOKUP($B61,Rates!$B:$F,4,FALSE)</f>
        <v>3085.99</v>
      </c>
    </row>
    <row r="62" spans="1:34" s="20" customFormat="1" x14ac:dyDescent="0.2">
      <c r="A62" s="18" t="s">
        <v>164</v>
      </c>
      <c r="B62" s="216">
        <v>3526</v>
      </c>
      <c r="C62" s="20">
        <v>202691.40330000003</v>
      </c>
      <c r="D62" s="20">
        <v>73746.521281859386</v>
      </c>
      <c r="E62" s="20">
        <v>0</v>
      </c>
      <c r="F62" s="20">
        <v>0</v>
      </c>
      <c r="G62" s="20">
        <v>50732.789571428548</v>
      </c>
      <c r="H62" s="20">
        <v>839.77599999999563</v>
      </c>
      <c r="I62" s="20">
        <v>100000</v>
      </c>
      <c r="J62" s="20">
        <v>0</v>
      </c>
      <c r="K62" s="20">
        <v>1240.8799999999999</v>
      </c>
      <c r="L62" s="20">
        <v>0</v>
      </c>
      <c r="M62" s="222">
        <v>0</v>
      </c>
      <c r="N62" s="222">
        <f t="shared" si="0"/>
        <v>429251.37015328801</v>
      </c>
      <c r="O62" s="20">
        <v>0</v>
      </c>
      <c r="P62" s="20">
        <v>-12820.858865645909</v>
      </c>
      <c r="Q62" s="222">
        <f t="shared" si="2"/>
        <v>416430.51128764212</v>
      </c>
      <c r="R62" s="20">
        <v>-6060.1132866803891</v>
      </c>
      <c r="S62" s="222">
        <f t="shared" si="3"/>
        <v>410370.39800096175</v>
      </c>
      <c r="T62" s="20">
        <v>11604</v>
      </c>
      <c r="U62" s="20">
        <v>0</v>
      </c>
      <c r="V62" s="20">
        <v>0</v>
      </c>
      <c r="W62" s="20">
        <v>0</v>
      </c>
      <c r="X62" s="20">
        <v>0</v>
      </c>
      <c r="Y62" s="20">
        <f>SUMIF('Nursery Formula'!C:C,B62,'Nursery Formula'!AQ:AQ)</f>
        <v>62216.2016</v>
      </c>
      <c r="Z62" s="20">
        <v>0</v>
      </c>
      <c r="AA62" s="222">
        <f t="shared" si="1"/>
        <v>484190.59960096178</v>
      </c>
      <c r="AC62" s="20">
        <v>0</v>
      </c>
      <c r="AE62" s="20">
        <f t="shared" si="4"/>
        <v>196631.29001331964</v>
      </c>
      <c r="AG62" s="20">
        <f>VLOOKUP($B62,Rates!$B:$F,5,FALSE)</f>
        <v>65.260000000000005</v>
      </c>
      <c r="AH62" s="20">
        <f>VLOOKUP($B62,Rates!$B:$F,4,FALSE)</f>
        <v>1175.6199999999999</v>
      </c>
    </row>
    <row r="63" spans="1:34" s="20" customFormat="1" x14ac:dyDescent="0.2">
      <c r="A63" s="18" t="s">
        <v>165</v>
      </c>
      <c r="B63" s="216">
        <v>3535</v>
      </c>
      <c r="C63" s="20">
        <v>737503.66020000004</v>
      </c>
      <c r="D63" s="20">
        <v>278328.69112808281</v>
      </c>
      <c r="E63" s="20">
        <v>0</v>
      </c>
      <c r="F63" s="20">
        <v>0</v>
      </c>
      <c r="G63" s="20">
        <v>73837.602171428633</v>
      </c>
      <c r="H63" s="20">
        <v>0</v>
      </c>
      <c r="I63" s="20">
        <v>100000</v>
      </c>
      <c r="J63" s="20">
        <v>0</v>
      </c>
      <c r="K63" s="20">
        <v>2501.34</v>
      </c>
      <c r="L63" s="20">
        <v>0</v>
      </c>
      <c r="M63" s="222">
        <v>0</v>
      </c>
      <c r="N63" s="222">
        <f t="shared" si="0"/>
        <v>1192171.2934995117</v>
      </c>
      <c r="O63" s="20">
        <v>133518.76918954053</v>
      </c>
      <c r="P63" s="20">
        <v>0</v>
      </c>
      <c r="Q63" s="222">
        <f t="shared" si="2"/>
        <v>1325690.0626890522</v>
      </c>
      <c r="R63" s="20">
        <v>-22050.05075394551</v>
      </c>
      <c r="S63" s="222">
        <f t="shared" si="3"/>
        <v>1303640.0119351067</v>
      </c>
      <c r="T63" s="20">
        <v>0</v>
      </c>
      <c r="U63" s="20">
        <v>0</v>
      </c>
      <c r="V63" s="20">
        <v>38542</v>
      </c>
      <c r="W63" s="20">
        <v>0</v>
      </c>
      <c r="X63" s="20">
        <v>0</v>
      </c>
      <c r="Y63" s="20">
        <f>SUMIF('Nursery Formula'!C:C,B63,'Nursery Formula'!AQ:AQ)</f>
        <v>0</v>
      </c>
      <c r="Z63" s="20">
        <v>0</v>
      </c>
      <c r="AA63" s="222">
        <f t="shared" si="1"/>
        <v>1342182.0119351067</v>
      </c>
      <c r="AC63" s="20">
        <v>0</v>
      </c>
      <c r="AE63" s="20">
        <f t="shared" si="4"/>
        <v>715453.60944605456</v>
      </c>
      <c r="AG63" s="20">
        <f>VLOOKUP($B63,Rates!$B:$F,5,FALSE)</f>
        <v>76.63</v>
      </c>
      <c r="AH63" s="20">
        <f>VLOOKUP($B63,Rates!$B:$F,4,FALSE)</f>
        <v>2424.71</v>
      </c>
    </row>
    <row r="64" spans="1:34" s="20" customFormat="1" x14ac:dyDescent="0.2">
      <c r="A64" s="21" t="s">
        <v>107</v>
      </c>
      <c r="B64" s="216">
        <v>2008</v>
      </c>
      <c r="C64" s="20">
        <v>539696.38710000005</v>
      </c>
      <c r="D64" s="20">
        <v>148872.49561092767</v>
      </c>
      <c r="E64" s="20">
        <v>0</v>
      </c>
      <c r="F64" s="20">
        <v>0</v>
      </c>
      <c r="G64" s="20">
        <v>9901.4225026178046</v>
      </c>
      <c r="H64" s="20">
        <v>0</v>
      </c>
      <c r="I64" s="20">
        <v>100000</v>
      </c>
      <c r="J64" s="20">
        <v>0</v>
      </c>
      <c r="K64" s="20">
        <v>2522.6799999999998</v>
      </c>
      <c r="L64" s="20">
        <v>0</v>
      </c>
      <c r="M64" s="222">
        <v>0</v>
      </c>
      <c r="N64" s="222">
        <f t="shared" si="0"/>
        <v>800992.98521354562</v>
      </c>
      <c r="O64" s="20">
        <v>51542.785960979061</v>
      </c>
      <c r="P64" s="20">
        <v>0</v>
      </c>
      <c r="Q64" s="222">
        <f t="shared" si="2"/>
        <v>852535.77117452468</v>
      </c>
      <c r="R64" s="20">
        <v>0</v>
      </c>
      <c r="S64" s="222">
        <f t="shared" si="3"/>
        <v>852535.77117452468</v>
      </c>
      <c r="T64" s="20">
        <v>5000</v>
      </c>
      <c r="U64" s="20">
        <v>0</v>
      </c>
      <c r="V64" s="20">
        <v>0</v>
      </c>
      <c r="W64" s="20">
        <v>0</v>
      </c>
      <c r="X64" s="20">
        <v>0</v>
      </c>
      <c r="Y64" s="20">
        <f>SUMIF('Nursery Formula'!C:C,B64,'Nursery Formula'!AQ:AQ)</f>
        <v>0</v>
      </c>
      <c r="Z64" s="20">
        <v>0</v>
      </c>
      <c r="AA64" s="222">
        <f t="shared" si="1"/>
        <v>857535.77117452468</v>
      </c>
      <c r="AC64" s="20">
        <v>0</v>
      </c>
      <c r="AE64" s="20">
        <f t="shared" si="4"/>
        <v>539696.38710000005</v>
      </c>
      <c r="AG64" s="20">
        <f>VLOOKUP($B64,Rates!$B:$F,5,FALSE)</f>
        <v>0</v>
      </c>
      <c r="AH64" s="20">
        <f>VLOOKUP($B64,Rates!$B:$F,4,FALSE)</f>
        <v>2522.6799999999998</v>
      </c>
    </row>
    <row r="65" spans="1:34" s="20" customFormat="1" x14ac:dyDescent="0.2">
      <c r="A65" s="18" t="s">
        <v>166</v>
      </c>
      <c r="B65" s="216">
        <v>3542</v>
      </c>
      <c r="C65" s="20">
        <v>876701.3709000001</v>
      </c>
      <c r="D65" s="20">
        <v>175623.22606938775</v>
      </c>
      <c r="E65" s="20">
        <v>4128.6526512747878</v>
      </c>
      <c r="F65" s="20">
        <v>0</v>
      </c>
      <c r="G65" s="20">
        <v>78308.032247058902</v>
      </c>
      <c r="H65" s="20">
        <v>0</v>
      </c>
      <c r="I65" s="20">
        <v>100000</v>
      </c>
      <c r="J65" s="20">
        <v>0</v>
      </c>
      <c r="K65" s="20">
        <v>4648.95</v>
      </c>
      <c r="L65" s="20">
        <v>0</v>
      </c>
      <c r="M65" s="222">
        <v>0</v>
      </c>
      <c r="N65" s="222">
        <f t="shared" ref="N65:N71" si="5">SUM(C65:M65)</f>
        <v>1239410.2318677215</v>
      </c>
      <c r="O65" s="20">
        <v>0</v>
      </c>
      <c r="P65" s="20">
        <v>0</v>
      </c>
      <c r="Q65" s="222">
        <f t="shared" si="2"/>
        <v>1239410.2318677215</v>
      </c>
      <c r="R65" s="20">
        <v>-26211.815300219994</v>
      </c>
      <c r="S65" s="222">
        <f t="shared" si="3"/>
        <v>1213198.4165675016</v>
      </c>
      <c r="T65" s="20">
        <v>23208</v>
      </c>
      <c r="U65" s="20">
        <v>0</v>
      </c>
      <c r="V65" s="20">
        <v>9010</v>
      </c>
      <c r="W65" s="20">
        <v>0</v>
      </c>
      <c r="X65" s="20">
        <v>0</v>
      </c>
      <c r="Y65" s="20">
        <f>SUMIF('Nursery Formula'!C:C,B65,'Nursery Formula'!AQ:AQ)</f>
        <v>0</v>
      </c>
      <c r="Z65" s="20">
        <v>0</v>
      </c>
      <c r="AA65" s="222">
        <f t="shared" ref="AA65:AA71" si="6">SUM(S65:Z65)</f>
        <v>1245416.4165675016</v>
      </c>
      <c r="AC65" s="20">
        <v>0</v>
      </c>
      <c r="AE65" s="20">
        <f t="shared" si="4"/>
        <v>850489.55559978005</v>
      </c>
      <c r="AG65" s="20">
        <f>VLOOKUP($B65,Rates!$B:$F,5,FALSE)</f>
        <v>142.41999999999999</v>
      </c>
      <c r="AH65" s="20">
        <f>VLOOKUP($B65,Rates!$B:$F,4,FALSE)</f>
        <v>4506.53</v>
      </c>
    </row>
    <row r="66" spans="1:34" s="20" customFormat="1" x14ac:dyDescent="0.2">
      <c r="A66" s="18" t="s">
        <v>167</v>
      </c>
      <c r="B66" s="216">
        <v>3528</v>
      </c>
      <c r="C66" s="20">
        <v>859606.91520000005</v>
      </c>
      <c r="D66" s="20">
        <v>171119.00476925517</v>
      </c>
      <c r="E66" s="20">
        <v>1405.1099657817108</v>
      </c>
      <c r="F66" s="20">
        <v>0</v>
      </c>
      <c r="G66" s="20">
        <v>47290.244674402813</v>
      </c>
      <c r="H66" s="20">
        <v>10557.183999999997</v>
      </c>
      <c r="I66" s="20">
        <v>100000</v>
      </c>
      <c r="J66" s="20">
        <v>0</v>
      </c>
      <c r="K66" s="20">
        <v>8337.7799999999988</v>
      </c>
      <c r="L66" s="20">
        <v>0</v>
      </c>
      <c r="M66" s="222">
        <v>0</v>
      </c>
      <c r="N66" s="222">
        <f t="shared" si="5"/>
        <v>1198316.2386094397</v>
      </c>
      <c r="O66" s="20">
        <v>0</v>
      </c>
      <c r="P66" s="20">
        <v>-24484.13915784187</v>
      </c>
      <c r="Q66" s="222">
        <f t="shared" si="2"/>
        <v>1173832.0994515978</v>
      </c>
      <c r="R66" s="20">
        <v>-25700.721408572252</v>
      </c>
      <c r="S66" s="222">
        <f t="shared" si="3"/>
        <v>1148131.3780430255</v>
      </c>
      <c r="T66" s="20">
        <v>21557</v>
      </c>
      <c r="U66" s="20">
        <v>0</v>
      </c>
      <c r="V66" s="20">
        <v>15016</v>
      </c>
      <c r="W66" s="20">
        <v>0</v>
      </c>
      <c r="X66" s="20">
        <v>0</v>
      </c>
      <c r="Y66" s="20">
        <f>SUMIF('Nursery Formula'!C:C,B66,'Nursery Formula'!AQ:AQ)</f>
        <v>93125.3992</v>
      </c>
      <c r="Z66" s="20">
        <v>0</v>
      </c>
      <c r="AA66" s="222">
        <f t="shared" si="6"/>
        <v>1277829.7772430256</v>
      </c>
      <c r="AC66" s="20">
        <v>0</v>
      </c>
      <c r="AE66" s="20">
        <f t="shared" si="4"/>
        <v>833906.19379142777</v>
      </c>
      <c r="AG66" s="20">
        <f>VLOOKUP($B66,Rates!$B:$F,5,FALSE)</f>
        <v>255.42</v>
      </c>
      <c r="AH66" s="20">
        <f>VLOOKUP($B66,Rates!$B:$F,4,FALSE)</f>
        <v>8082.36</v>
      </c>
    </row>
    <row r="67" spans="1:34" s="20" customFormat="1" x14ac:dyDescent="0.2">
      <c r="A67" s="18" t="s">
        <v>168</v>
      </c>
      <c r="B67" s="216">
        <v>3534</v>
      </c>
      <c r="C67" s="20">
        <v>583653.55890000006</v>
      </c>
      <c r="D67" s="20">
        <v>62007.506211168322</v>
      </c>
      <c r="E67" s="20">
        <v>2706.4333999999994</v>
      </c>
      <c r="F67" s="20">
        <v>0</v>
      </c>
      <c r="G67" s="20">
        <v>24816.280199999957</v>
      </c>
      <c r="H67" s="20">
        <v>0</v>
      </c>
      <c r="I67" s="20">
        <v>100000</v>
      </c>
      <c r="J67" s="20">
        <v>0</v>
      </c>
      <c r="K67" s="20">
        <v>2804.52</v>
      </c>
      <c r="L67" s="20">
        <v>0</v>
      </c>
      <c r="M67" s="222">
        <v>0</v>
      </c>
      <c r="N67" s="222">
        <f t="shared" si="5"/>
        <v>775988.29871116835</v>
      </c>
      <c r="O67" s="20">
        <v>0</v>
      </c>
      <c r="P67" s="20">
        <v>0</v>
      </c>
      <c r="Q67" s="222">
        <f t="shared" ref="Q67:Q71" si="7">SUM(N67:P67)</f>
        <v>775988.29871116835</v>
      </c>
      <c r="R67" s="20">
        <v>-17450.20572911582</v>
      </c>
      <c r="S67" s="222">
        <f t="shared" ref="S67:S71" si="8">SUM(Q67+R67)</f>
        <v>758538.09298205248</v>
      </c>
      <c r="T67" s="20">
        <v>0</v>
      </c>
      <c r="U67" s="20">
        <v>0</v>
      </c>
      <c r="V67" s="20">
        <v>5631</v>
      </c>
      <c r="W67" s="20">
        <v>0</v>
      </c>
      <c r="X67" s="20">
        <v>0</v>
      </c>
      <c r="Y67" s="20">
        <f>SUMIF('Nursery Formula'!C:C,B67,'Nursery Formula'!AQ:AQ)</f>
        <v>0</v>
      </c>
      <c r="Z67" s="20">
        <v>0</v>
      </c>
      <c r="AA67" s="222">
        <f t="shared" si="6"/>
        <v>764169.09298205248</v>
      </c>
      <c r="AC67" s="20">
        <v>0</v>
      </c>
      <c r="AE67" s="20">
        <f t="shared" ref="AE67:AE71" si="9">C67+R67</f>
        <v>566203.35317088419</v>
      </c>
      <c r="AG67" s="20">
        <f>VLOOKUP($B67,Rates!$B:$F,5,FALSE)</f>
        <v>85.91</v>
      </c>
      <c r="AH67" s="20">
        <f>VLOOKUP($B67,Rates!$B:$F,4,FALSE)</f>
        <v>2718.61</v>
      </c>
    </row>
    <row r="68" spans="1:34" s="20" customFormat="1" x14ac:dyDescent="0.2">
      <c r="A68" s="18" t="s">
        <v>169</v>
      </c>
      <c r="B68" s="216">
        <v>3532</v>
      </c>
      <c r="C68" s="20">
        <v>739945.72530000005</v>
      </c>
      <c r="D68" s="20">
        <v>51917.141484280161</v>
      </c>
      <c r="E68" s="20">
        <v>0</v>
      </c>
      <c r="F68" s="20">
        <v>0</v>
      </c>
      <c r="G68" s="20">
        <v>0</v>
      </c>
      <c r="H68" s="20">
        <v>0</v>
      </c>
      <c r="I68" s="20">
        <v>100000</v>
      </c>
      <c r="J68" s="20">
        <v>0</v>
      </c>
      <c r="K68" s="20">
        <v>4320.4800000000005</v>
      </c>
      <c r="L68" s="20">
        <v>0</v>
      </c>
      <c r="M68" s="222">
        <v>0</v>
      </c>
      <c r="N68" s="222">
        <f t="shared" si="5"/>
        <v>896183.34678428015</v>
      </c>
      <c r="O68" s="20">
        <v>18534.898059317609</v>
      </c>
      <c r="P68" s="20">
        <v>0</v>
      </c>
      <c r="Q68" s="222">
        <f t="shared" si="7"/>
        <v>914718.24484359776</v>
      </c>
      <c r="R68" s="20">
        <v>-22123.064167038046</v>
      </c>
      <c r="S68" s="222">
        <f t="shared" si="8"/>
        <v>892595.18067655968</v>
      </c>
      <c r="T68" s="20">
        <v>33114</v>
      </c>
      <c r="U68" s="20">
        <v>0</v>
      </c>
      <c r="V68" s="20">
        <v>17268</v>
      </c>
      <c r="W68" s="20">
        <v>0</v>
      </c>
      <c r="X68" s="20">
        <v>0</v>
      </c>
      <c r="Y68" s="20">
        <f>SUMIF('Nursery Formula'!C:C,B68,'Nursery Formula'!AQ:AQ)</f>
        <v>0</v>
      </c>
      <c r="Z68" s="20">
        <v>0</v>
      </c>
      <c r="AA68" s="222">
        <f t="shared" si="6"/>
        <v>942977.18067655968</v>
      </c>
      <c r="AC68" s="20">
        <v>0</v>
      </c>
      <c r="AE68" s="20">
        <f t="shared" si="9"/>
        <v>717822.66113296198</v>
      </c>
      <c r="AG68" s="20">
        <f>VLOOKUP($B68,Rates!$B:$F,5,FALSE)</f>
        <v>132.35</v>
      </c>
      <c r="AH68" s="20">
        <f>VLOOKUP($B68,Rates!$B:$F,4,FALSE)</f>
        <v>4188.13</v>
      </c>
    </row>
    <row r="69" spans="1:34" s="20" customFormat="1" x14ac:dyDescent="0.2">
      <c r="A69" s="18" t="s">
        <v>112</v>
      </c>
      <c r="B69" s="216">
        <v>3546</v>
      </c>
      <c r="C69" s="20">
        <v>1301620.6983</v>
      </c>
      <c r="D69" s="20">
        <v>525635.14328996057</v>
      </c>
      <c r="E69" s="20">
        <v>2890.8396837675346</v>
      </c>
      <c r="F69" s="20">
        <v>0</v>
      </c>
      <c r="G69" s="20">
        <v>107076.83070338603</v>
      </c>
      <c r="H69" s="20">
        <v>9237.5359999997272</v>
      </c>
      <c r="I69" s="20">
        <v>100000</v>
      </c>
      <c r="J69" s="20">
        <v>0</v>
      </c>
      <c r="K69" s="20">
        <v>143685.62</v>
      </c>
      <c r="L69" s="20">
        <v>0</v>
      </c>
      <c r="M69" s="222">
        <v>0</v>
      </c>
      <c r="N69" s="222">
        <f t="shared" si="5"/>
        <v>2190146.6679771142</v>
      </c>
      <c r="O69" s="20">
        <v>145464.01680722646</v>
      </c>
      <c r="P69" s="20">
        <v>0</v>
      </c>
      <c r="Q69" s="222">
        <f t="shared" si="7"/>
        <v>2335610.6847843407</v>
      </c>
      <c r="R69" s="20">
        <v>-38916.149178321051</v>
      </c>
      <c r="S69" s="222">
        <f t="shared" si="8"/>
        <v>2296694.5356060197</v>
      </c>
      <c r="T69" s="20">
        <v>15000</v>
      </c>
      <c r="U69" s="20">
        <v>0</v>
      </c>
      <c r="V69" s="20">
        <v>56310</v>
      </c>
      <c r="W69" s="20">
        <v>0</v>
      </c>
      <c r="X69" s="20">
        <v>0</v>
      </c>
      <c r="Y69" s="20">
        <f>SUMIF('Nursery Formula'!C:C,B69,'Nursery Formula'!AQ:AQ)</f>
        <v>189146.67579999997</v>
      </c>
      <c r="Z69" s="20">
        <v>0</v>
      </c>
      <c r="AA69" s="222">
        <f t="shared" si="6"/>
        <v>2557151.2114060195</v>
      </c>
      <c r="AC69" s="20">
        <v>0</v>
      </c>
      <c r="AE69" s="20">
        <f t="shared" si="9"/>
        <v>1262704.549121679</v>
      </c>
      <c r="AG69" s="20">
        <f>VLOOKUP($B69,Rates!$B:$F,5,FALSE)</f>
        <v>62372.18</v>
      </c>
      <c r="AH69" s="20">
        <f>VLOOKUP($B69,Rates!$B:$F,4,FALSE)</f>
        <v>81313.440000000002</v>
      </c>
    </row>
    <row r="70" spans="1:34" s="20" customFormat="1" x14ac:dyDescent="0.2">
      <c r="A70" s="18" t="s">
        <v>170</v>
      </c>
      <c r="B70" s="216">
        <v>3530</v>
      </c>
      <c r="C70" s="20">
        <v>759482.24610000011</v>
      </c>
      <c r="D70" s="20">
        <v>21796.648707300501</v>
      </c>
      <c r="E70" s="20">
        <v>2796.3481308970099</v>
      </c>
      <c r="F70" s="20">
        <v>0</v>
      </c>
      <c r="G70" s="20">
        <v>6048.4820863636287</v>
      </c>
      <c r="H70" s="20">
        <v>0</v>
      </c>
      <c r="I70" s="20">
        <v>100000</v>
      </c>
      <c r="J70" s="20">
        <v>0</v>
      </c>
      <c r="K70" s="20">
        <v>2754</v>
      </c>
      <c r="L70" s="20">
        <v>0</v>
      </c>
      <c r="M70" s="222">
        <v>0</v>
      </c>
      <c r="N70" s="222">
        <f t="shared" si="5"/>
        <v>892877.72502456128</v>
      </c>
      <c r="O70" s="20">
        <v>0</v>
      </c>
      <c r="P70" s="20">
        <v>0</v>
      </c>
      <c r="Q70" s="222">
        <f t="shared" si="7"/>
        <v>892877.72502456128</v>
      </c>
      <c r="R70" s="20">
        <v>-22707.171471778325</v>
      </c>
      <c r="S70" s="222">
        <f t="shared" si="8"/>
        <v>870170.55355278298</v>
      </c>
      <c r="T70" s="20">
        <v>34765</v>
      </c>
      <c r="U70" s="20">
        <v>0</v>
      </c>
      <c r="V70" s="20">
        <v>0</v>
      </c>
      <c r="W70" s="20">
        <v>0</v>
      </c>
      <c r="X70" s="20">
        <v>0</v>
      </c>
      <c r="Y70" s="20">
        <f>SUMIF('Nursery Formula'!C:C,B70,'Nursery Formula'!AQ:AQ)</f>
        <v>81634.287799999991</v>
      </c>
      <c r="Z70" s="20">
        <v>0</v>
      </c>
      <c r="AA70" s="222">
        <f t="shared" si="6"/>
        <v>986569.84135278291</v>
      </c>
      <c r="AC70" s="20">
        <v>0</v>
      </c>
      <c r="AE70" s="20">
        <f t="shared" si="9"/>
        <v>736775.0746282218</v>
      </c>
      <c r="AG70" s="20">
        <f>VLOOKUP($B70,Rates!$B:$F,5,FALSE)</f>
        <v>84.37</v>
      </c>
      <c r="AH70" s="20">
        <f>VLOOKUP($B70,Rates!$B:$F,4,FALSE)</f>
        <v>2669.63</v>
      </c>
    </row>
    <row r="71" spans="1:34" s="20" customFormat="1" x14ac:dyDescent="0.2">
      <c r="A71" s="18" t="s">
        <v>114</v>
      </c>
      <c r="B71" s="216">
        <v>2459</v>
      </c>
      <c r="C71" s="20">
        <v>945079.19370000006</v>
      </c>
      <c r="D71" s="20">
        <v>36024.402742347433</v>
      </c>
      <c r="E71" s="20">
        <v>0</v>
      </c>
      <c r="F71" s="20">
        <v>0</v>
      </c>
      <c r="G71" s="20">
        <v>12006.126184894254</v>
      </c>
      <c r="H71" s="20">
        <v>0</v>
      </c>
      <c r="I71" s="20">
        <v>100000</v>
      </c>
      <c r="J71" s="20">
        <v>0</v>
      </c>
      <c r="K71" s="20">
        <v>15262.38</v>
      </c>
      <c r="L71" s="20">
        <v>0</v>
      </c>
      <c r="M71" s="222">
        <v>0</v>
      </c>
      <c r="N71" s="222">
        <f t="shared" si="5"/>
        <v>1108372.1026272415</v>
      </c>
      <c r="O71" s="20">
        <v>29157.520794784883</v>
      </c>
      <c r="P71" s="20">
        <v>0</v>
      </c>
      <c r="Q71" s="222">
        <f t="shared" si="7"/>
        <v>1137529.6234220264</v>
      </c>
      <c r="R71" s="20">
        <v>-28256.190866810968</v>
      </c>
      <c r="S71" s="222">
        <f t="shared" si="8"/>
        <v>1109273.4325552154</v>
      </c>
      <c r="T71" s="20">
        <v>16604</v>
      </c>
      <c r="U71" s="20">
        <v>0</v>
      </c>
      <c r="V71" s="20">
        <v>13514</v>
      </c>
      <c r="W71" s="20">
        <v>0</v>
      </c>
      <c r="X71" s="20">
        <v>0</v>
      </c>
      <c r="Y71" s="20">
        <f>SUMIF('Nursery Formula'!C:C,B71,'Nursery Formula'!AQ:AQ)</f>
        <v>0</v>
      </c>
      <c r="Z71" s="20">
        <v>0</v>
      </c>
      <c r="AA71" s="222">
        <f t="shared" si="6"/>
        <v>1139391.4325552154</v>
      </c>
      <c r="AC71" s="20">
        <v>0</v>
      </c>
      <c r="AE71" s="20">
        <f t="shared" si="9"/>
        <v>916823.00283318909</v>
      </c>
      <c r="AG71" s="20">
        <f>VLOOKUP($B71,Rates!$B:$F,5,FALSE)</f>
        <v>-167.58</v>
      </c>
      <c r="AH71" s="20">
        <f>VLOOKUP($B71,Rates!$B:$F,4,FALSE)</f>
        <v>15429.96</v>
      </c>
    </row>
    <row r="72" spans="1:34" s="20" customFormat="1" x14ac:dyDescent="0.2">
      <c r="A72" s="18"/>
      <c r="B72" s="216"/>
      <c r="S72" s="222"/>
      <c r="AA72" s="222"/>
    </row>
    <row r="73" spans="1:34" s="20" customFormat="1" x14ac:dyDescent="0.2">
      <c r="A73" s="9" t="s">
        <v>171</v>
      </c>
      <c r="B73" s="212" t="s">
        <v>171</v>
      </c>
      <c r="C73" s="222">
        <f t="shared" ref="C73:AA73" si="10">SUM(C2:C72)</f>
        <v>51280925.034899987</v>
      </c>
      <c r="D73" s="222">
        <f t="shared" si="10"/>
        <v>12284856.175037136</v>
      </c>
      <c r="E73" s="222">
        <f t="shared" si="10"/>
        <v>119272.27144706488</v>
      </c>
      <c r="F73" s="222">
        <f t="shared" si="10"/>
        <v>0</v>
      </c>
      <c r="G73" s="222">
        <f t="shared" si="10"/>
        <v>2510314.1532008522</v>
      </c>
      <c r="H73" s="222">
        <f t="shared" si="10"/>
        <v>373508.14497325814</v>
      </c>
      <c r="I73" s="222">
        <f t="shared" si="10"/>
        <v>7070000</v>
      </c>
      <c r="J73" s="222">
        <f t="shared" si="10"/>
        <v>0</v>
      </c>
      <c r="K73" s="222">
        <f t="shared" si="10"/>
        <v>1282074.31</v>
      </c>
      <c r="L73" s="222">
        <f t="shared" si="10"/>
        <v>287616</v>
      </c>
      <c r="M73" s="222">
        <f t="shared" si="10"/>
        <v>0</v>
      </c>
      <c r="N73" s="222">
        <f t="shared" si="10"/>
        <v>75208566.089558333</v>
      </c>
      <c r="O73" s="222">
        <f t="shared" si="10"/>
        <v>2873233.1677924749</v>
      </c>
      <c r="P73" s="222">
        <f t="shared" si="10"/>
        <v>-102339.19065767282</v>
      </c>
      <c r="Q73" s="222">
        <f t="shared" si="10"/>
        <v>77979460.066693127</v>
      </c>
      <c r="R73" s="222">
        <f t="shared" si="10"/>
        <v>-1438364.2379229353</v>
      </c>
      <c r="S73" s="222">
        <f t="shared" si="10"/>
        <v>76541095.82877019</v>
      </c>
      <c r="T73" s="222">
        <f t="shared" si="10"/>
        <v>1338091</v>
      </c>
      <c r="U73" s="222">
        <f t="shared" si="10"/>
        <v>2409685.895</v>
      </c>
      <c r="V73" s="222">
        <f t="shared" si="10"/>
        <v>943914</v>
      </c>
      <c r="W73" s="222">
        <f t="shared" si="10"/>
        <v>53057</v>
      </c>
      <c r="X73" s="222">
        <f t="shared" si="10"/>
        <v>0</v>
      </c>
      <c r="Y73" s="222">
        <f t="shared" si="10"/>
        <v>4305366.2928683991</v>
      </c>
      <c r="Z73" s="222">
        <f t="shared" si="10"/>
        <v>0</v>
      </c>
      <c r="AA73" s="222">
        <f t="shared" si="10"/>
        <v>85591210.016638562</v>
      </c>
      <c r="AC73" s="222">
        <f>SUM(AC2:AC72)</f>
        <v>80528.674999999988</v>
      </c>
      <c r="AE73" s="222">
        <f>SUM(AE2:AE72)</f>
        <v>49842560.796977066</v>
      </c>
      <c r="AG73" s="222">
        <f>SUM(AG2:AG72)</f>
        <v>121716.83</v>
      </c>
      <c r="AH73" s="222">
        <f>SUM(AH2:AH72)</f>
        <v>1160357.48</v>
      </c>
    </row>
    <row r="74" spans="1:34" s="20" customFormat="1" x14ac:dyDescent="0.2">
      <c r="A74" s="18"/>
      <c r="B74" s="216"/>
      <c r="S74" s="222"/>
      <c r="X74" s="799" t="s">
        <v>1139</v>
      </c>
      <c r="AA74" s="222"/>
    </row>
    <row r="75" spans="1:34" s="20" customFormat="1" x14ac:dyDescent="0.2">
      <c r="A75" s="18" t="s">
        <v>127</v>
      </c>
      <c r="B75" s="216">
        <v>5402</v>
      </c>
      <c r="C75" s="20">
        <v>4853908.1850000005</v>
      </c>
      <c r="D75" s="20">
        <v>195616.52412073404</v>
      </c>
      <c r="E75" s="20">
        <v>9339.3972098372778</v>
      </c>
      <c r="F75" s="20">
        <v>164042.58652519892</v>
      </c>
      <c r="G75" s="20">
        <v>32863.051717207542</v>
      </c>
      <c r="H75" s="20">
        <v>0</v>
      </c>
      <c r="I75" s="20">
        <v>150000</v>
      </c>
      <c r="J75" s="20">
        <v>0</v>
      </c>
      <c r="K75" s="20">
        <v>38963.479999999996</v>
      </c>
      <c r="L75" s="20">
        <v>0</v>
      </c>
      <c r="M75" s="222">
        <v>0</v>
      </c>
      <c r="N75" s="222">
        <f t="shared" ref="N75:N87" si="11">SUM(C75:M75)</f>
        <v>5444733.2245729789</v>
      </c>
      <c r="O75" s="20">
        <v>0</v>
      </c>
      <c r="P75" s="20">
        <v>0</v>
      </c>
      <c r="Q75" s="222">
        <f t="shared" ref="Q75:Q87" si="12">SUM(N75:P75)</f>
        <v>5444733.2245729789</v>
      </c>
      <c r="R75" s="20">
        <v>0</v>
      </c>
      <c r="S75" s="222">
        <f t="shared" ref="S75:S87" si="13">SUM(Q75+R75)</f>
        <v>5444733.2245729789</v>
      </c>
      <c r="T75" s="20">
        <v>0</v>
      </c>
      <c r="U75" s="20">
        <v>0</v>
      </c>
      <c r="V75" s="20">
        <v>55060</v>
      </c>
      <c r="W75" s="20">
        <v>0</v>
      </c>
      <c r="X75" s="20">
        <v>0</v>
      </c>
      <c r="AA75" s="222">
        <f t="shared" ref="AA75:AA87" si="14">SUM(S75:Z75)</f>
        <v>5499793.2245729789</v>
      </c>
      <c r="AC75" s="20">
        <v>0</v>
      </c>
      <c r="AE75" s="20">
        <f t="shared" ref="AE75:AE87" si="15">C75+R75</f>
        <v>4853908.1850000005</v>
      </c>
      <c r="AG75" s="20">
        <f>VLOOKUP($B75,Rates!$B:$F,5,FALSE)</f>
        <v>-223.72</v>
      </c>
      <c r="AH75" s="20">
        <f>VLOOKUP($B75,Rates!$B:$F,4,FALSE)</f>
        <v>39187.199999999997</v>
      </c>
    </row>
    <row r="76" spans="1:34" s="20" customFormat="1" x14ac:dyDescent="0.2">
      <c r="A76" s="18" t="s">
        <v>116</v>
      </c>
      <c r="B76" s="216">
        <v>4608</v>
      </c>
      <c r="C76" s="20">
        <v>2036652.4388000001</v>
      </c>
      <c r="D76" s="20">
        <v>450549.38676853414</v>
      </c>
      <c r="E76" s="20">
        <v>7525.862976079733</v>
      </c>
      <c r="F76" s="20">
        <v>181552.20071005917</v>
      </c>
      <c r="G76" s="20">
        <v>35432.576766065002</v>
      </c>
      <c r="H76" s="20">
        <v>0</v>
      </c>
      <c r="I76" s="20">
        <v>150000</v>
      </c>
      <c r="J76" s="20">
        <v>0</v>
      </c>
      <c r="K76" s="20">
        <v>27539.94</v>
      </c>
      <c r="L76" s="20">
        <v>20884</v>
      </c>
      <c r="M76" s="222">
        <v>0</v>
      </c>
      <c r="N76" s="222">
        <f t="shared" si="11"/>
        <v>2910136.4060207382</v>
      </c>
      <c r="O76" s="20">
        <v>251900.68404281372</v>
      </c>
      <c r="P76" s="20">
        <v>0</v>
      </c>
      <c r="Q76" s="222">
        <f t="shared" si="12"/>
        <v>3162037.0900635519</v>
      </c>
      <c r="R76" s="20">
        <v>-33201.595914746234</v>
      </c>
      <c r="S76" s="222">
        <f t="shared" si="13"/>
        <v>3128835.4941488057</v>
      </c>
      <c r="T76" s="20">
        <v>0</v>
      </c>
      <c r="U76" s="20">
        <v>0</v>
      </c>
      <c r="V76" s="20">
        <v>47340</v>
      </c>
      <c r="W76" s="20">
        <v>0</v>
      </c>
      <c r="X76" s="20">
        <v>0</v>
      </c>
      <c r="AA76" s="222">
        <f t="shared" si="14"/>
        <v>3176175.4941488057</v>
      </c>
      <c r="AC76" s="20">
        <v>0</v>
      </c>
      <c r="AE76" s="20">
        <f t="shared" si="15"/>
        <v>2003450.842885254</v>
      </c>
      <c r="AG76" s="20">
        <f>VLOOKUP($B76,Rates!$B:$F,5,FALSE)</f>
        <v>843.66</v>
      </c>
      <c r="AH76" s="20">
        <f>VLOOKUP($B76,Rates!$B:$F,4,FALSE)</f>
        <v>26696.28</v>
      </c>
    </row>
    <row r="77" spans="1:34" s="20" customFormat="1" x14ac:dyDescent="0.2">
      <c r="A77" s="18" t="s">
        <v>172</v>
      </c>
      <c r="B77" s="216">
        <v>4178</v>
      </c>
      <c r="C77" s="20">
        <v>4757014.0464000003</v>
      </c>
      <c r="D77" s="20">
        <v>660471.54511379823</v>
      </c>
      <c r="E77" s="20">
        <v>6908.6941592505855</v>
      </c>
      <c r="F77" s="20">
        <v>314932.61284595274</v>
      </c>
      <c r="G77" s="20">
        <v>122011.48791090482</v>
      </c>
      <c r="H77" s="20">
        <v>0</v>
      </c>
      <c r="I77" s="20">
        <v>150000</v>
      </c>
      <c r="J77" s="20">
        <v>0</v>
      </c>
      <c r="K77" s="20">
        <v>26024.48</v>
      </c>
      <c r="L77" s="20">
        <v>0</v>
      </c>
      <c r="M77" s="222">
        <v>0</v>
      </c>
      <c r="N77" s="222">
        <f t="shared" si="11"/>
        <v>6037362.8664299073</v>
      </c>
      <c r="O77" s="20">
        <v>282881.1117287362</v>
      </c>
      <c r="P77" s="20">
        <v>0</v>
      </c>
      <c r="Q77" s="222">
        <f t="shared" si="12"/>
        <v>6320243.9781586435</v>
      </c>
      <c r="R77" s="20">
        <v>-77827.396875426668</v>
      </c>
      <c r="S77" s="222">
        <f t="shared" si="13"/>
        <v>6242416.5812832164</v>
      </c>
      <c r="T77" s="20">
        <v>0</v>
      </c>
      <c r="U77" s="20">
        <v>0</v>
      </c>
      <c r="V77" s="20">
        <v>20392</v>
      </c>
      <c r="W77" s="20">
        <v>0</v>
      </c>
      <c r="X77" s="799">
        <v>807352</v>
      </c>
      <c r="AA77" s="222">
        <f t="shared" si="14"/>
        <v>7070160.5812832164</v>
      </c>
      <c r="AC77" s="20">
        <v>0</v>
      </c>
      <c r="AE77" s="20">
        <f t="shared" si="15"/>
        <v>4679186.6495245732</v>
      </c>
      <c r="AG77" s="20">
        <f>VLOOKUP($B77,Rates!$B:$F,5,FALSE)</f>
        <v>797.72</v>
      </c>
      <c r="AH77" s="20">
        <f>VLOOKUP($B77,Rates!$B:$F,4,FALSE)</f>
        <v>25226.76</v>
      </c>
    </row>
    <row r="78" spans="1:34" s="20" customFormat="1" x14ac:dyDescent="0.2">
      <c r="A78" s="18" t="s">
        <v>118</v>
      </c>
      <c r="B78" s="216">
        <v>4181</v>
      </c>
      <c r="C78" s="20">
        <v>3878705.1422000006</v>
      </c>
      <c r="D78" s="20">
        <v>343018.31678571785</v>
      </c>
      <c r="E78" s="20">
        <v>3973.9877584403671</v>
      </c>
      <c r="F78" s="20">
        <v>256062.98739562626</v>
      </c>
      <c r="G78" s="20">
        <v>17329.429661403512</v>
      </c>
      <c r="H78" s="20">
        <v>0</v>
      </c>
      <c r="I78" s="20">
        <v>150000</v>
      </c>
      <c r="J78" s="20">
        <v>0</v>
      </c>
      <c r="K78" s="20">
        <v>19789.54</v>
      </c>
      <c r="L78" s="20">
        <v>0</v>
      </c>
      <c r="M78" s="222">
        <v>0</v>
      </c>
      <c r="N78" s="222">
        <f t="shared" si="11"/>
        <v>4668879.4038011879</v>
      </c>
      <c r="O78" s="20">
        <v>152357.44489586074</v>
      </c>
      <c r="P78" s="20">
        <v>0</v>
      </c>
      <c r="Q78" s="222">
        <f t="shared" si="12"/>
        <v>4821236.8486970486</v>
      </c>
      <c r="R78" s="20">
        <v>0</v>
      </c>
      <c r="S78" s="222">
        <f t="shared" si="13"/>
        <v>4821236.8486970486</v>
      </c>
      <c r="T78" s="20">
        <v>0</v>
      </c>
      <c r="U78" s="20">
        <v>255340.16000000003</v>
      </c>
      <c r="V78" s="20">
        <v>0</v>
      </c>
      <c r="W78" s="20">
        <v>0</v>
      </c>
      <c r="X78" s="20">
        <v>0</v>
      </c>
      <c r="AA78" s="222">
        <f t="shared" si="14"/>
        <v>5076577.0086970488</v>
      </c>
      <c r="AC78" s="20">
        <v>0</v>
      </c>
      <c r="AE78" s="20">
        <f t="shared" si="15"/>
        <v>3878705.1422000006</v>
      </c>
      <c r="AG78" s="20">
        <f>VLOOKUP($B78,Rates!$B:$F,5,FALSE)</f>
        <v>0</v>
      </c>
      <c r="AH78" s="20">
        <f>VLOOKUP($B78,Rates!$B:$F,4,FALSE)</f>
        <v>19789.54</v>
      </c>
    </row>
    <row r="79" spans="1:34" s="20" customFormat="1" x14ac:dyDescent="0.2">
      <c r="A79" s="18" t="s">
        <v>119</v>
      </c>
      <c r="B79" s="216">
        <v>4182</v>
      </c>
      <c r="C79" s="20">
        <v>4980925.5496000005</v>
      </c>
      <c r="D79" s="20">
        <v>167970.55545156039</v>
      </c>
      <c r="E79" s="20">
        <v>8388.3131584337352</v>
      </c>
      <c r="F79" s="20">
        <v>197438.67250414565</v>
      </c>
      <c r="G79" s="20">
        <v>80702.286944257561</v>
      </c>
      <c r="H79" s="20">
        <v>0</v>
      </c>
      <c r="I79" s="20">
        <v>150000</v>
      </c>
      <c r="J79" s="20">
        <v>0</v>
      </c>
      <c r="K79" s="20">
        <v>97873.04</v>
      </c>
      <c r="L79" s="20">
        <v>0</v>
      </c>
      <c r="M79" s="222">
        <v>0</v>
      </c>
      <c r="N79" s="222">
        <f t="shared" si="11"/>
        <v>5683298.4176583989</v>
      </c>
      <c r="O79" s="20">
        <v>72574.967677518725</v>
      </c>
      <c r="P79" s="20">
        <v>0</v>
      </c>
      <c r="Q79" s="222">
        <f t="shared" si="12"/>
        <v>5755873.3853359176</v>
      </c>
      <c r="R79" s="20">
        <v>-81635.465224071391</v>
      </c>
      <c r="S79" s="222">
        <f t="shared" si="13"/>
        <v>5674237.9201118462</v>
      </c>
      <c r="T79" s="20">
        <v>0</v>
      </c>
      <c r="U79" s="20">
        <v>0</v>
      </c>
      <c r="V79" s="20">
        <v>53408</v>
      </c>
      <c r="W79" s="20">
        <v>0</v>
      </c>
      <c r="X79" s="799">
        <v>1067537</v>
      </c>
      <c r="AA79" s="222">
        <f t="shared" si="14"/>
        <v>6795182.9201118462</v>
      </c>
      <c r="AC79" s="20">
        <v>0</v>
      </c>
      <c r="AE79" s="20">
        <f t="shared" si="15"/>
        <v>4899290.0843759291</v>
      </c>
      <c r="AG79" s="20">
        <f>VLOOKUP($B79,Rates!$B:$F,5,FALSE)</f>
        <v>-1074.6400000000001</v>
      </c>
      <c r="AH79" s="20">
        <f>VLOOKUP($B79,Rates!$B:$F,4,FALSE)</f>
        <v>98947.68</v>
      </c>
    </row>
    <row r="80" spans="1:34" s="20" customFormat="1" x14ac:dyDescent="0.2">
      <c r="A80" s="18" t="s">
        <v>120</v>
      </c>
      <c r="B80" s="256">
        <v>4001</v>
      </c>
      <c r="C80" s="20">
        <v>2795861.3465999998</v>
      </c>
      <c r="D80" s="20">
        <v>686057.17368870194</v>
      </c>
      <c r="E80" s="20">
        <v>8626.7564624999995</v>
      </c>
      <c r="F80" s="20">
        <v>336249.07565217407</v>
      </c>
      <c r="G80" s="20">
        <v>123286.1877153142</v>
      </c>
      <c r="H80" s="20">
        <v>0</v>
      </c>
      <c r="I80" s="20">
        <v>150000</v>
      </c>
      <c r="J80" s="20">
        <v>0</v>
      </c>
      <c r="K80" s="20">
        <v>100530.24000000001</v>
      </c>
      <c r="L80" s="20">
        <v>320131</v>
      </c>
      <c r="M80" s="222">
        <v>0</v>
      </c>
      <c r="N80" s="222">
        <f t="shared" si="11"/>
        <v>4520741.7801186899</v>
      </c>
      <c r="O80" s="20">
        <v>0</v>
      </c>
      <c r="P80" s="20">
        <v>-28549.289143397982</v>
      </c>
      <c r="Q80" s="222">
        <f t="shared" si="12"/>
        <v>4492192.4909752915</v>
      </c>
      <c r="R80" s="20">
        <v>0</v>
      </c>
      <c r="S80" s="222">
        <f t="shared" si="13"/>
        <v>4492192.4909752915</v>
      </c>
      <c r="T80" s="20">
        <v>0</v>
      </c>
      <c r="U80" s="20">
        <v>0</v>
      </c>
      <c r="V80" s="20">
        <v>36415</v>
      </c>
      <c r="W80" s="20">
        <v>0</v>
      </c>
      <c r="X80" s="20">
        <v>579812.66666666674</v>
      </c>
      <c r="AA80" s="222">
        <f t="shared" si="14"/>
        <v>5108420.1576419584</v>
      </c>
      <c r="AC80" s="20">
        <v>0</v>
      </c>
      <c r="AE80" s="20">
        <f t="shared" si="15"/>
        <v>2795861.3465999998</v>
      </c>
      <c r="AG80" s="20">
        <f>VLOOKUP($B80,Rates!$B:$F,5,FALSE)</f>
        <v>43708.800000000003</v>
      </c>
      <c r="AH80" s="20">
        <f>VLOOKUP($B80,Rates!$B:$F,4,FALSE)</f>
        <v>56821.440000000002</v>
      </c>
    </row>
    <row r="81" spans="1:35" s="20" customFormat="1" x14ac:dyDescent="0.2">
      <c r="A81" s="18" t="s">
        <v>173</v>
      </c>
      <c r="B81" s="216">
        <v>5406</v>
      </c>
      <c r="C81" s="20">
        <v>3104516.8308000001</v>
      </c>
      <c r="D81" s="20">
        <v>367176.6806318551</v>
      </c>
      <c r="E81" s="20">
        <v>6354.8850552486192</v>
      </c>
      <c r="F81" s="20">
        <v>227516.08344923533</v>
      </c>
      <c r="G81" s="20">
        <v>70857.328981042709</v>
      </c>
      <c r="H81" s="20">
        <v>0</v>
      </c>
      <c r="I81" s="20">
        <v>150000</v>
      </c>
      <c r="J81" s="20">
        <v>0</v>
      </c>
      <c r="K81" s="20">
        <v>25771.32</v>
      </c>
      <c r="L81" s="20">
        <v>0</v>
      </c>
      <c r="M81" s="222">
        <v>0</v>
      </c>
      <c r="N81" s="222">
        <f t="shared" si="11"/>
        <v>3952193.1289173816</v>
      </c>
      <c r="O81" s="20">
        <v>0</v>
      </c>
      <c r="P81" s="20">
        <v>0</v>
      </c>
      <c r="Q81" s="222">
        <f t="shared" si="12"/>
        <v>3952193.1289173816</v>
      </c>
      <c r="R81" s="20">
        <v>-50575.907755437816</v>
      </c>
      <c r="S81" s="222">
        <f t="shared" si="13"/>
        <v>3901617.2211619439</v>
      </c>
      <c r="T81" s="20">
        <v>0</v>
      </c>
      <c r="U81" s="20">
        <v>0</v>
      </c>
      <c r="V81" s="20">
        <v>0</v>
      </c>
      <c r="W81" s="20">
        <v>0</v>
      </c>
      <c r="X81" s="20">
        <v>0</v>
      </c>
      <c r="AA81" s="222">
        <f t="shared" si="14"/>
        <v>3901617.2211619439</v>
      </c>
      <c r="AC81" s="20">
        <v>0</v>
      </c>
      <c r="AE81" s="20">
        <f t="shared" si="15"/>
        <v>3053940.9230445623</v>
      </c>
      <c r="AG81" s="20">
        <f>VLOOKUP($B81,Rates!$B:$F,5,FALSE)</f>
        <v>789.48</v>
      </c>
      <c r="AH81" s="20">
        <f>VLOOKUP($B81,Rates!$B:$F,4,FALSE)</f>
        <v>24981.84</v>
      </c>
    </row>
    <row r="82" spans="1:35" s="20" customFormat="1" x14ac:dyDescent="0.2">
      <c r="A82" s="18" t="s">
        <v>174</v>
      </c>
      <c r="B82" s="216">
        <v>5407</v>
      </c>
      <c r="C82" s="20">
        <v>3611676.0022</v>
      </c>
      <c r="D82" s="20">
        <v>570802.92841322662</v>
      </c>
      <c r="E82" s="20">
        <v>6827.8428828600399</v>
      </c>
      <c r="F82" s="20">
        <v>312957.84427645826</v>
      </c>
      <c r="G82" s="20">
        <v>45229.602599999911</v>
      </c>
      <c r="H82" s="20">
        <v>0</v>
      </c>
      <c r="I82" s="20">
        <v>150000</v>
      </c>
      <c r="J82" s="20">
        <v>0</v>
      </c>
      <c r="K82" s="20">
        <v>28045.759999999998</v>
      </c>
      <c r="L82" s="20">
        <v>382430</v>
      </c>
      <c r="M82" s="222">
        <v>0</v>
      </c>
      <c r="N82" s="222">
        <f t="shared" si="11"/>
        <v>5107969.9803725444</v>
      </c>
      <c r="O82" s="20">
        <v>0</v>
      </c>
      <c r="P82" s="20">
        <v>-79160.446543752376</v>
      </c>
      <c r="Q82" s="222">
        <f t="shared" si="12"/>
        <v>5028809.5338287922</v>
      </c>
      <c r="R82" s="20">
        <v>-59203.562607836036</v>
      </c>
      <c r="S82" s="222">
        <f t="shared" si="13"/>
        <v>4969605.9712209562</v>
      </c>
      <c r="T82" s="20">
        <v>0</v>
      </c>
      <c r="U82" s="20">
        <v>0</v>
      </c>
      <c r="V82" s="20">
        <v>29132</v>
      </c>
      <c r="W82" s="20">
        <v>0</v>
      </c>
      <c r="X82" s="799">
        <v>643291</v>
      </c>
      <c r="Z82" s="20">
        <v>300645</v>
      </c>
      <c r="AA82" s="222">
        <f t="shared" si="14"/>
        <v>5942673.9712209562</v>
      </c>
      <c r="AC82" s="20">
        <v>0</v>
      </c>
      <c r="AE82" s="20">
        <f t="shared" si="15"/>
        <v>3552472.439592164</v>
      </c>
      <c r="AG82" s="20">
        <f>VLOOKUP($B82,Rates!$B:$F,5,FALSE)</f>
        <v>859.64</v>
      </c>
      <c r="AH82" s="20">
        <f>VLOOKUP($B82,Rates!$B:$F,4,FALSE)</f>
        <v>27186.12</v>
      </c>
    </row>
    <row r="83" spans="1:35" s="20" customFormat="1" x14ac:dyDescent="0.2">
      <c r="A83" s="18" t="s">
        <v>123</v>
      </c>
      <c r="B83" s="216">
        <v>4607</v>
      </c>
      <c r="C83" s="20">
        <v>4200366.1168</v>
      </c>
      <c r="D83" s="20">
        <v>566969.19335881597</v>
      </c>
      <c r="E83" s="20">
        <v>5280.4000175527426</v>
      </c>
      <c r="F83" s="20">
        <v>288945.50611439795</v>
      </c>
      <c r="G83" s="20">
        <v>101270.89214047621</v>
      </c>
      <c r="H83" s="20">
        <v>0</v>
      </c>
      <c r="I83" s="20">
        <v>150000</v>
      </c>
      <c r="J83" s="20">
        <v>19329.921551105632</v>
      </c>
      <c r="K83" s="20">
        <v>28900.560000000001</v>
      </c>
      <c r="L83" s="20">
        <v>0</v>
      </c>
      <c r="M83" s="222">
        <v>0</v>
      </c>
      <c r="N83" s="222">
        <f t="shared" si="11"/>
        <v>5361062.5899823485</v>
      </c>
      <c r="O83" s="20">
        <v>0</v>
      </c>
      <c r="P83" s="20">
        <v>0</v>
      </c>
      <c r="Q83" s="222">
        <f t="shared" si="12"/>
        <v>5361062.5899823485</v>
      </c>
      <c r="R83" s="20">
        <v>0</v>
      </c>
      <c r="S83" s="222">
        <f t="shared" si="13"/>
        <v>5361062.5899823485</v>
      </c>
      <c r="T83" s="20">
        <v>0</v>
      </c>
      <c r="U83" s="20">
        <v>590929.52</v>
      </c>
      <c r="V83" s="20">
        <v>38358</v>
      </c>
      <c r="W83" s="20">
        <v>0</v>
      </c>
      <c r="X83" s="20">
        <v>1359412.3333333335</v>
      </c>
      <c r="AA83" s="222">
        <f t="shared" si="14"/>
        <v>7349762.4433156829</v>
      </c>
      <c r="AC83" s="20">
        <v>12921.23</v>
      </c>
      <c r="AE83" s="20">
        <f t="shared" si="15"/>
        <v>4200366.1168</v>
      </c>
      <c r="AG83" s="20">
        <f>VLOOKUP($B83,Rates!$B:$F,5,FALSE)</f>
        <v>0</v>
      </c>
      <c r="AH83" s="20">
        <f>VLOOKUP($B83,Rates!$B:$F,4,FALSE)</f>
        <v>28900.560000000001</v>
      </c>
    </row>
    <row r="84" spans="1:35" s="20" customFormat="1" x14ac:dyDescent="0.2">
      <c r="A84" s="18" t="s">
        <v>791</v>
      </c>
      <c r="B84" s="256">
        <v>4002</v>
      </c>
      <c r="C84" s="20">
        <v>2762272.9148000004</v>
      </c>
      <c r="D84" s="20">
        <v>486280.37410344102</v>
      </c>
      <c r="E84" s="20">
        <v>6113.9308734939759</v>
      </c>
      <c r="F84" s="20">
        <v>288781.20401337801</v>
      </c>
      <c r="G84" s="20">
        <v>128150.5407</v>
      </c>
      <c r="H84" s="20">
        <v>0</v>
      </c>
      <c r="I84" s="20">
        <v>150000</v>
      </c>
      <c r="J84" s="20">
        <v>0</v>
      </c>
      <c r="K84" s="20">
        <v>19095.75</v>
      </c>
      <c r="L84" s="20">
        <v>0</v>
      </c>
      <c r="M84" s="222">
        <v>0</v>
      </c>
      <c r="N84" s="222">
        <f t="shared" si="11"/>
        <v>3840694.7144903131</v>
      </c>
      <c r="O84" s="20">
        <v>84299.744782519527</v>
      </c>
      <c r="P84" s="20">
        <v>0</v>
      </c>
      <c r="Q84" s="222">
        <f t="shared" si="12"/>
        <v>3924994.4592728326</v>
      </c>
      <c r="R84" s="20">
        <v>0</v>
      </c>
      <c r="S84" s="222">
        <f t="shared" si="13"/>
        <v>3924994.4592728326</v>
      </c>
      <c r="T84" s="20">
        <v>0</v>
      </c>
      <c r="U84" s="20">
        <v>0</v>
      </c>
      <c r="V84" s="20">
        <v>0</v>
      </c>
      <c r="W84" s="20">
        <v>0</v>
      </c>
      <c r="X84" s="20">
        <v>0</v>
      </c>
      <c r="AA84" s="222">
        <f t="shared" si="14"/>
        <v>3924994.4592728326</v>
      </c>
      <c r="AC84" s="20">
        <v>0</v>
      </c>
      <c r="AE84" s="20">
        <f t="shared" si="15"/>
        <v>2762272.9148000004</v>
      </c>
      <c r="AG84" s="20">
        <f>VLOOKUP($B84,Rates!$B:$F,5,FALSE)</f>
        <v>481.83</v>
      </c>
      <c r="AH84" s="20">
        <f>VLOOKUP($B84,Rates!$B:$F,4,FALSE)</f>
        <v>18613.919999999998</v>
      </c>
    </row>
    <row r="85" spans="1:35" s="20" customFormat="1" x14ac:dyDescent="0.2">
      <c r="A85" s="18" t="s">
        <v>175</v>
      </c>
      <c r="B85" s="216">
        <v>4177</v>
      </c>
      <c r="C85" s="20">
        <v>2187125.8393250001</v>
      </c>
      <c r="D85" s="20">
        <v>419089.31729419611</v>
      </c>
      <c r="E85" s="20">
        <v>9422.4588838617892</v>
      </c>
      <c r="F85" s="20">
        <v>278390.90469798649</v>
      </c>
      <c r="G85" s="20">
        <v>314319.9136639472</v>
      </c>
      <c r="H85" s="20">
        <v>104285.58609161468</v>
      </c>
      <c r="I85" s="20">
        <v>150000</v>
      </c>
      <c r="J85" s="20">
        <v>0</v>
      </c>
      <c r="K85" s="20">
        <v>20212.8</v>
      </c>
      <c r="L85" s="20">
        <v>0</v>
      </c>
      <c r="M85" s="222">
        <v>0</v>
      </c>
      <c r="N85" s="222">
        <f t="shared" si="11"/>
        <v>3482846.8199566063</v>
      </c>
      <c r="O85" s="20">
        <v>204842.09745059581</v>
      </c>
      <c r="P85" s="20">
        <v>0</v>
      </c>
      <c r="Q85" s="222">
        <f t="shared" si="12"/>
        <v>3687688.9174072021</v>
      </c>
      <c r="R85" s="20">
        <v>-36399.778316928336</v>
      </c>
      <c r="S85" s="222">
        <f t="shared" si="13"/>
        <v>3651289.1390902735</v>
      </c>
      <c r="T85" s="20">
        <v>0</v>
      </c>
      <c r="U85" s="20">
        <v>839322.23499999999</v>
      </c>
      <c r="V85" s="20">
        <v>8740</v>
      </c>
      <c r="W85" s="20">
        <v>0</v>
      </c>
      <c r="X85" s="799">
        <v>296750</v>
      </c>
      <c r="Y85" s="20">
        <f>SUMIF('Nursery Formula'!C:C,B85,'Nursery Formula'!AQ:AQ)</f>
        <v>54231.046800000004</v>
      </c>
      <c r="AA85" s="222">
        <f t="shared" si="14"/>
        <v>4850332.4208902735</v>
      </c>
      <c r="AC85" s="20">
        <v>16284.02</v>
      </c>
      <c r="AE85" s="20">
        <f t="shared" si="15"/>
        <v>2150726.0610080715</v>
      </c>
      <c r="AG85" s="20">
        <f>VLOOKUP($B85,Rates!$B:$F,5,FALSE)</f>
        <v>619.20000000000005</v>
      </c>
      <c r="AH85" s="20">
        <f>VLOOKUP($B85,Rates!$B:$F,4,FALSE)</f>
        <v>19593.599999999999</v>
      </c>
    </row>
    <row r="86" spans="1:35" s="20" customFormat="1" x14ac:dyDescent="0.2">
      <c r="A86" s="18" t="s">
        <v>126</v>
      </c>
      <c r="B86" s="216">
        <v>5412</v>
      </c>
      <c r="C86" s="20">
        <v>4521511.6758000003</v>
      </c>
      <c r="D86" s="20">
        <v>328769.84153581294</v>
      </c>
      <c r="E86" s="20">
        <v>5219.7001027152828</v>
      </c>
      <c r="F86" s="20">
        <v>217359.53150546708</v>
      </c>
      <c r="G86" s="20">
        <v>25168.052659951645</v>
      </c>
      <c r="H86" s="20">
        <v>0</v>
      </c>
      <c r="I86" s="20">
        <v>150000</v>
      </c>
      <c r="J86" s="20">
        <v>0</v>
      </c>
      <c r="K86" s="20">
        <v>20867.18</v>
      </c>
      <c r="L86" s="20">
        <v>0</v>
      </c>
      <c r="M86" s="222">
        <v>0</v>
      </c>
      <c r="N86" s="222">
        <f t="shared" si="11"/>
        <v>5268895.9816039475</v>
      </c>
      <c r="O86" s="20">
        <v>0</v>
      </c>
      <c r="P86" s="20">
        <v>0</v>
      </c>
      <c r="Q86" s="222">
        <f t="shared" si="12"/>
        <v>5268895.9816039475</v>
      </c>
      <c r="R86" s="20">
        <v>0</v>
      </c>
      <c r="S86" s="222">
        <f t="shared" si="13"/>
        <v>5268895.9816039475</v>
      </c>
      <c r="T86" s="20">
        <v>0</v>
      </c>
      <c r="U86" s="20">
        <v>0</v>
      </c>
      <c r="V86" s="20">
        <v>18935</v>
      </c>
      <c r="W86" s="20">
        <v>0</v>
      </c>
      <c r="X86" s="20">
        <v>0</v>
      </c>
      <c r="AA86" s="222">
        <f t="shared" si="14"/>
        <v>5287830.9816039475</v>
      </c>
      <c r="AC86" s="20">
        <v>0</v>
      </c>
      <c r="AE86" s="20">
        <f t="shared" si="15"/>
        <v>4521511.6758000003</v>
      </c>
      <c r="AG86" s="20">
        <f>VLOOKUP($B86,Rates!$B:$F,5,FALSE)</f>
        <v>0</v>
      </c>
      <c r="AH86" s="20">
        <f>VLOOKUP($B86,Rates!$B:$F,4,FALSE)</f>
        <v>20867.18</v>
      </c>
    </row>
    <row r="87" spans="1:35" s="20" customFormat="1" x14ac:dyDescent="0.2">
      <c r="A87" s="18" t="s">
        <v>125</v>
      </c>
      <c r="B87" s="216">
        <v>5414</v>
      </c>
      <c r="C87" s="20">
        <v>3712123.0958000002</v>
      </c>
      <c r="D87" s="20">
        <v>214510.37936924456</v>
      </c>
      <c r="E87" s="20">
        <v>2667.3230907514449</v>
      </c>
      <c r="F87" s="20">
        <v>136873.07586206932</v>
      </c>
      <c r="G87" s="20">
        <v>57068.174580405401</v>
      </c>
      <c r="H87" s="20">
        <v>0</v>
      </c>
      <c r="I87" s="20">
        <v>150000</v>
      </c>
      <c r="J87" s="20">
        <v>0</v>
      </c>
      <c r="K87" s="20">
        <v>24198.1</v>
      </c>
      <c r="L87" s="20">
        <v>0</v>
      </c>
      <c r="M87" s="222">
        <v>0</v>
      </c>
      <c r="N87" s="222">
        <f t="shared" si="11"/>
        <v>4297440.1487024706</v>
      </c>
      <c r="O87" s="20">
        <v>42488.158517462201</v>
      </c>
      <c r="P87" s="20">
        <v>0</v>
      </c>
      <c r="Q87" s="222">
        <f t="shared" si="12"/>
        <v>4339928.3072199328</v>
      </c>
      <c r="R87" s="20">
        <v>0</v>
      </c>
      <c r="S87" s="222">
        <f t="shared" si="13"/>
        <v>4339928.3072199328</v>
      </c>
      <c r="T87" s="20">
        <v>0</v>
      </c>
      <c r="U87" s="20">
        <v>208506.75</v>
      </c>
      <c r="V87" s="20">
        <v>49524</v>
      </c>
      <c r="W87" s="20">
        <v>0</v>
      </c>
      <c r="X87" s="20">
        <v>0</v>
      </c>
      <c r="AA87" s="222">
        <f t="shared" si="14"/>
        <v>4597959.0572199328</v>
      </c>
      <c r="AC87" s="20">
        <v>5269.75</v>
      </c>
      <c r="AE87" s="20">
        <f t="shared" si="15"/>
        <v>3712123.0958000002</v>
      </c>
      <c r="AG87" s="20">
        <f>VLOOKUP($B87,Rates!$B:$F,5,FALSE)</f>
        <v>0</v>
      </c>
      <c r="AH87" s="20">
        <f>VLOOKUP($B87,Rates!$B:$F,4,FALSE)</f>
        <v>24198.1</v>
      </c>
    </row>
    <row r="88" spans="1:35" s="20" customFormat="1" x14ac:dyDescent="0.2">
      <c r="A88" s="18"/>
      <c r="B88" s="216"/>
      <c r="S88" s="222"/>
      <c r="AA88" s="222"/>
    </row>
    <row r="89" spans="1:35" s="20" customFormat="1" x14ac:dyDescent="0.2">
      <c r="A89" s="9" t="s">
        <v>176</v>
      </c>
      <c r="B89" s="212" t="s">
        <v>176</v>
      </c>
      <c r="C89" s="222">
        <f>SUM(C75:C88)</f>
        <v>47402659.184125014</v>
      </c>
      <c r="D89" s="222">
        <f t="shared" ref="D89:AA89" si="16">SUM(D75:D88)</f>
        <v>5457282.2166356398</v>
      </c>
      <c r="E89" s="222">
        <f t="shared" si="16"/>
        <v>86649.552631025595</v>
      </c>
      <c r="F89" s="222">
        <f t="shared" si="16"/>
        <v>3201102.2855521487</v>
      </c>
      <c r="G89" s="222">
        <f t="shared" si="16"/>
        <v>1153689.5260409759</v>
      </c>
      <c r="H89" s="222">
        <f t="shared" si="16"/>
        <v>104285.58609161468</v>
      </c>
      <c r="I89" s="222">
        <f t="shared" si="16"/>
        <v>1950000</v>
      </c>
      <c r="J89" s="222">
        <f t="shared" si="16"/>
        <v>19329.921551105632</v>
      </c>
      <c r="K89" s="222">
        <f t="shared" si="16"/>
        <v>477812.18999999994</v>
      </c>
      <c r="L89" s="222">
        <f t="shared" si="16"/>
        <v>723445</v>
      </c>
      <c r="M89" s="222">
        <f t="shared" si="16"/>
        <v>0</v>
      </c>
      <c r="N89" s="222">
        <f t="shared" si="16"/>
        <v>60576255.462627508</v>
      </c>
      <c r="O89" s="222">
        <f t="shared" si="16"/>
        <v>1091344.2090955069</v>
      </c>
      <c r="P89" s="222">
        <f t="shared" si="16"/>
        <v>-107709.73568715036</v>
      </c>
      <c r="Q89" s="222">
        <f t="shared" si="16"/>
        <v>61559889.936035864</v>
      </c>
      <c r="R89" s="222">
        <f t="shared" si="16"/>
        <v>-338843.7066944465</v>
      </c>
      <c r="S89" s="222">
        <f t="shared" si="16"/>
        <v>61221046.22934141</v>
      </c>
      <c r="T89" s="222">
        <f t="shared" si="16"/>
        <v>0</v>
      </c>
      <c r="U89" s="222">
        <f t="shared" si="16"/>
        <v>1894098.665</v>
      </c>
      <c r="V89" s="222">
        <f t="shared" si="16"/>
        <v>357304</v>
      </c>
      <c r="W89" s="222">
        <f t="shared" ref="W89" si="17">SUM(W75:W88)</f>
        <v>0</v>
      </c>
      <c r="X89" s="222">
        <f t="shared" si="16"/>
        <v>4754155</v>
      </c>
      <c r="Y89" s="222">
        <f t="shared" si="16"/>
        <v>54231.046800000004</v>
      </c>
      <c r="Z89" s="222">
        <f t="shared" si="16"/>
        <v>300645</v>
      </c>
      <c r="AA89" s="222">
        <f t="shared" si="16"/>
        <v>68581479.941141427</v>
      </c>
      <c r="AC89" s="222">
        <f t="shared" ref="AC89:AE89" si="18">SUM(AC75:AC88)</f>
        <v>34475</v>
      </c>
      <c r="AE89" s="222">
        <f t="shared" si="18"/>
        <v>47063815.47743056</v>
      </c>
      <c r="AF89" s="222">
        <f t="shared" ref="AF89:AH89" si="19">SUM(AF75:AF88)</f>
        <v>0</v>
      </c>
      <c r="AG89" s="222">
        <f t="shared" si="19"/>
        <v>46801.97</v>
      </c>
      <c r="AH89" s="222">
        <f t="shared" si="19"/>
        <v>431010.22</v>
      </c>
      <c r="AI89" s="222"/>
    </row>
    <row r="90" spans="1:35" s="20" customFormat="1" x14ac:dyDescent="0.2">
      <c r="A90" s="18"/>
      <c r="B90" s="216"/>
      <c r="S90" s="222"/>
      <c r="AA90" s="222"/>
      <c r="AC90" s="222"/>
      <c r="AE90" s="222"/>
      <c r="AF90" s="222"/>
      <c r="AG90" s="222"/>
      <c r="AH90" s="222"/>
      <c r="AI90" s="222"/>
    </row>
    <row r="91" spans="1:35" s="20" customFormat="1" ht="15" x14ac:dyDescent="0.25">
      <c r="A91" s="9"/>
      <c r="B91" s="300"/>
      <c r="C91" s="222">
        <f>SUM(C89+C73)</f>
        <v>98683584.219025001</v>
      </c>
      <c r="D91" s="222">
        <f t="shared" ref="D91:AA91" si="20">SUM(D89+D73)</f>
        <v>17742138.391672775</v>
      </c>
      <c r="E91" s="796">
        <f t="shared" si="20"/>
        <v>205921.82407809049</v>
      </c>
      <c r="F91" s="222">
        <f t="shared" si="20"/>
        <v>3201102.2855521487</v>
      </c>
      <c r="G91" s="222">
        <f t="shared" si="20"/>
        <v>3664003.6792418282</v>
      </c>
      <c r="H91" s="222">
        <f t="shared" si="20"/>
        <v>477793.73106487282</v>
      </c>
      <c r="I91" s="222">
        <f t="shared" si="20"/>
        <v>9020000</v>
      </c>
      <c r="J91" s="222">
        <f t="shared" si="20"/>
        <v>19329.921551105632</v>
      </c>
      <c r="K91" s="222">
        <f t="shared" si="20"/>
        <v>1759886.5</v>
      </c>
      <c r="L91" s="222">
        <f t="shared" si="20"/>
        <v>1011061</v>
      </c>
      <c r="M91" s="222">
        <f t="shared" si="20"/>
        <v>0</v>
      </c>
      <c r="N91" s="222">
        <f t="shared" si="20"/>
        <v>135784821.55218583</v>
      </c>
      <c r="O91" s="222">
        <f t="shared" si="20"/>
        <v>3964577.3768879818</v>
      </c>
      <c r="P91" s="222">
        <f t="shared" si="20"/>
        <v>-210048.92634482318</v>
      </c>
      <c r="Q91" s="222">
        <f t="shared" si="20"/>
        <v>139539350.002729</v>
      </c>
      <c r="R91" s="222">
        <f t="shared" si="20"/>
        <v>-1777207.9446173818</v>
      </c>
      <c r="S91" s="222">
        <f t="shared" si="20"/>
        <v>137762142.05811161</v>
      </c>
      <c r="T91" s="222">
        <f t="shared" si="20"/>
        <v>1338091</v>
      </c>
      <c r="U91" s="222">
        <f t="shared" si="20"/>
        <v>4303784.5600000005</v>
      </c>
      <c r="V91" s="222">
        <f t="shared" si="20"/>
        <v>1301218</v>
      </c>
      <c r="W91" s="222">
        <f t="shared" ref="W91" si="21">SUM(W89+W73)</f>
        <v>53057</v>
      </c>
      <c r="X91" s="222">
        <f t="shared" si="20"/>
        <v>4754155</v>
      </c>
      <c r="Y91" s="222">
        <f>SUM(Y89+Y73)</f>
        <v>4359597.3396683987</v>
      </c>
      <c r="Z91" s="222">
        <f t="shared" si="20"/>
        <v>300645</v>
      </c>
      <c r="AA91" s="222">
        <f t="shared" si="20"/>
        <v>154172689.95778</v>
      </c>
      <c r="AC91" s="222">
        <f t="shared" ref="AC91:AE91" si="22">SUM(AC89+AC73)</f>
        <v>115003.67499999999</v>
      </c>
      <c r="AE91" s="796">
        <f t="shared" si="22"/>
        <v>96906376.274407625</v>
      </c>
      <c r="AF91" s="222">
        <f t="shared" ref="AF91:AH91" si="23">SUM(AF89+AF73)</f>
        <v>0</v>
      </c>
      <c r="AG91" s="222">
        <f t="shared" si="23"/>
        <v>168518.8</v>
      </c>
      <c r="AH91" s="222">
        <f t="shared" si="23"/>
        <v>1591367.7</v>
      </c>
      <c r="AI91" s="222"/>
    </row>
    <row r="92" spans="1:35" s="20" customFormat="1" ht="12.75" customHeight="1" x14ac:dyDescent="0.2">
      <c r="A92" s="223"/>
      <c r="B92" s="198"/>
      <c r="S92" s="222"/>
      <c r="AA92" s="222"/>
    </row>
    <row r="93" spans="1:35" ht="38.25" x14ac:dyDescent="0.2">
      <c r="U93" s="20" t="s">
        <v>289</v>
      </c>
      <c r="V93" s="20" t="s">
        <v>289</v>
      </c>
      <c r="W93" s="20" t="s">
        <v>289</v>
      </c>
      <c r="Y93" s="254" t="s">
        <v>796</v>
      </c>
      <c r="AC93" s="222"/>
      <c r="AD93" s="798" t="s">
        <v>1006</v>
      </c>
      <c r="AE93" s="222"/>
      <c r="AF93" s="798" t="s">
        <v>1005</v>
      </c>
    </row>
    <row r="95" spans="1:35" x14ac:dyDescent="0.2">
      <c r="A95" s="375" t="s">
        <v>36</v>
      </c>
      <c r="B95" s="332">
        <v>1014</v>
      </c>
      <c r="C95" s="20">
        <v>0</v>
      </c>
      <c r="D95" s="20">
        <v>0</v>
      </c>
      <c r="E95" s="20">
        <v>0</v>
      </c>
      <c r="F95" s="20">
        <v>0</v>
      </c>
      <c r="G95" s="20">
        <v>0</v>
      </c>
      <c r="H95" s="20">
        <v>0</v>
      </c>
      <c r="I95" s="20">
        <v>0</v>
      </c>
      <c r="J95" s="20">
        <v>0</v>
      </c>
      <c r="K95" s="20">
        <v>0</v>
      </c>
      <c r="L95" s="20">
        <v>0</v>
      </c>
      <c r="M95" s="20">
        <v>0</v>
      </c>
      <c r="N95" s="222">
        <f t="shared" ref="N95:N102" si="24">SUM(C95:M95)</f>
        <v>0</v>
      </c>
      <c r="O95" s="20">
        <v>0</v>
      </c>
      <c r="P95" s="20">
        <v>0</v>
      </c>
      <c r="Q95" s="222">
        <f t="shared" ref="Q95:Q102" si="25">SUM(N95:P95)</f>
        <v>0</v>
      </c>
      <c r="R95" s="20">
        <v>0</v>
      </c>
      <c r="S95" s="222">
        <f t="shared" ref="S95:S102" si="26">SUM(Q95+R95)</f>
        <v>0</v>
      </c>
      <c r="T95" s="20">
        <v>0</v>
      </c>
      <c r="U95" s="20">
        <v>0</v>
      </c>
      <c r="X95" s="20">
        <v>0</v>
      </c>
      <c r="Y95" s="20">
        <f>SUMIF('Nursery Formula'!C:C,B95,'Nursery Formula'!AQ:AQ)-U95-V95</f>
        <v>276993.48619999993</v>
      </c>
      <c r="Z95" s="20">
        <v>0</v>
      </c>
      <c r="AA95" s="222">
        <f t="shared" ref="AA95:AA102" si="27">SUM(S95:Z95)</f>
        <v>276993.48619999993</v>
      </c>
      <c r="AC95" s="20">
        <v>0</v>
      </c>
      <c r="AD95" s="20">
        <v>0</v>
      </c>
      <c r="AF95" s="20">
        <v>0</v>
      </c>
      <c r="AG95" s="20">
        <v>1587.5156799999986</v>
      </c>
      <c r="AH95" s="20">
        <v>9551.8799999999992</v>
      </c>
    </row>
    <row r="96" spans="1:35" x14ac:dyDescent="0.2">
      <c r="A96" s="375" t="s">
        <v>37</v>
      </c>
      <c r="B96" s="332">
        <v>1017</v>
      </c>
      <c r="C96" s="20">
        <v>0</v>
      </c>
      <c r="D96" s="20">
        <v>0</v>
      </c>
      <c r="E96" s="20">
        <v>0</v>
      </c>
      <c r="F96" s="20">
        <v>0</v>
      </c>
      <c r="G96" s="20">
        <v>0</v>
      </c>
      <c r="H96" s="20">
        <v>0</v>
      </c>
      <c r="I96" s="20">
        <v>0</v>
      </c>
      <c r="J96" s="20">
        <v>0</v>
      </c>
      <c r="K96" s="20">
        <v>0</v>
      </c>
      <c r="L96" s="20">
        <v>0</v>
      </c>
      <c r="M96" s="20">
        <v>0</v>
      </c>
      <c r="N96" s="222">
        <f t="shared" si="24"/>
        <v>0</v>
      </c>
      <c r="O96" s="20">
        <v>0</v>
      </c>
      <c r="P96" s="20">
        <v>0</v>
      </c>
      <c r="Q96" s="222">
        <f t="shared" si="25"/>
        <v>0</v>
      </c>
      <c r="R96" s="20">
        <v>0</v>
      </c>
      <c r="S96" s="222">
        <f t="shared" si="26"/>
        <v>0</v>
      </c>
      <c r="T96" s="20">
        <v>0</v>
      </c>
      <c r="U96" s="20">
        <v>0</v>
      </c>
      <c r="X96" s="20">
        <v>0</v>
      </c>
      <c r="Y96" s="20">
        <f>SUMIF('Nursery Formula'!C:C,B96,'Nursery Formula'!AQ:AQ)-U96-V96</f>
        <v>185050.976</v>
      </c>
      <c r="Z96" s="20">
        <v>0</v>
      </c>
      <c r="AA96" s="222">
        <f t="shared" si="27"/>
        <v>185050.976</v>
      </c>
      <c r="AC96" s="20">
        <v>0</v>
      </c>
      <c r="AD96" s="20">
        <v>2127</v>
      </c>
      <c r="AF96" s="20">
        <v>0</v>
      </c>
      <c r="AG96" s="20">
        <v>1026.6137399999998</v>
      </c>
      <c r="AH96" s="20">
        <v>10409.1</v>
      </c>
    </row>
    <row r="97" spans="1:35" x14ac:dyDescent="0.2">
      <c r="A97" s="375" t="s">
        <v>38</v>
      </c>
      <c r="B97" s="332">
        <v>1006</v>
      </c>
      <c r="C97" s="20">
        <v>0</v>
      </c>
      <c r="D97" s="20">
        <v>0</v>
      </c>
      <c r="E97" s="20">
        <v>0</v>
      </c>
      <c r="F97" s="20">
        <v>0</v>
      </c>
      <c r="G97" s="20">
        <v>0</v>
      </c>
      <c r="H97" s="20">
        <v>0</v>
      </c>
      <c r="I97" s="20">
        <v>0</v>
      </c>
      <c r="J97" s="20">
        <v>0</v>
      </c>
      <c r="K97" s="20">
        <v>0</v>
      </c>
      <c r="L97" s="20">
        <v>0</v>
      </c>
      <c r="M97" s="20">
        <v>0</v>
      </c>
      <c r="N97" s="222">
        <f t="shared" si="24"/>
        <v>0</v>
      </c>
      <c r="O97" s="20">
        <v>0</v>
      </c>
      <c r="P97" s="20">
        <v>0</v>
      </c>
      <c r="Q97" s="222">
        <f t="shared" si="25"/>
        <v>0</v>
      </c>
      <c r="R97" s="20">
        <v>0</v>
      </c>
      <c r="S97" s="222">
        <f t="shared" si="26"/>
        <v>0</v>
      </c>
      <c r="T97" s="20">
        <v>0</v>
      </c>
      <c r="U97" s="20">
        <v>142055</v>
      </c>
      <c r="X97" s="20">
        <v>0</v>
      </c>
      <c r="Y97" s="20">
        <f>SUMIF('Nursery Formula'!C:C,B97,'Nursery Formula'!AQ:AQ)-U97-V97</f>
        <v>316972.60960000003</v>
      </c>
      <c r="Z97" s="20">
        <v>0</v>
      </c>
      <c r="AA97" s="222">
        <f t="shared" si="27"/>
        <v>459027.60960000003</v>
      </c>
      <c r="AC97" s="20">
        <v>0</v>
      </c>
      <c r="AD97" s="20">
        <v>4630</v>
      </c>
      <c r="AF97" s="20">
        <v>0</v>
      </c>
      <c r="AG97" s="20">
        <v>642.04496000000017</v>
      </c>
      <c r="AH97" s="20">
        <v>11266.32</v>
      </c>
    </row>
    <row r="98" spans="1:35" x14ac:dyDescent="0.2">
      <c r="A98" s="375" t="s">
        <v>39</v>
      </c>
      <c r="B98" s="332">
        <v>1008</v>
      </c>
      <c r="C98" s="20">
        <v>0</v>
      </c>
      <c r="D98" s="20">
        <v>0</v>
      </c>
      <c r="E98" s="20">
        <v>0</v>
      </c>
      <c r="F98" s="20">
        <v>0</v>
      </c>
      <c r="G98" s="20">
        <v>0</v>
      </c>
      <c r="H98" s="20">
        <v>0</v>
      </c>
      <c r="I98" s="20">
        <v>0</v>
      </c>
      <c r="J98" s="20">
        <v>0</v>
      </c>
      <c r="K98" s="20">
        <v>0</v>
      </c>
      <c r="L98" s="20">
        <v>0</v>
      </c>
      <c r="M98" s="20">
        <v>0</v>
      </c>
      <c r="N98" s="222">
        <f t="shared" ref="N98" si="28">SUM(C98:M98)</f>
        <v>0</v>
      </c>
      <c r="O98" s="20">
        <v>0</v>
      </c>
      <c r="P98" s="20">
        <v>0</v>
      </c>
      <c r="Q98" s="222">
        <f t="shared" si="25"/>
        <v>0</v>
      </c>
      <c r="R98" s="20">
        <v>0</v>
      </c>
      <c r="S98" s="222">
        <f t="shared" si="26"/>
        <v>0</v>
      </c>
      <c r="T98" s="20">
        <v>0</v>
      </c>
      <c r="U98" s="20">
        <v>0</v>
      </c>
      <c r="X98" s="20">
        <v>0</v>
      </c>
      <c r="Y98" s="20">
        <f>SUMIF('Nursery Formula'!C:C,B98,'Nursery Formula'!AQ:AQ)-U98-V98</f>
        <v>388827.42960000003</v>
      </c>
      <c r="Z98" s="20">
        <v>0</v>
      </c>
      <c r="AA98" s="222">
        <f t="shared" si="27"/>
        <v>388827.42960000003</v>
      </c>
      <c r="AC98" s="20">
        <v>0</v>
      </c>
      <c r="AD98" s="20">
        <v>17519</v>
      </c>
      <c r="AF98" s="20">
        <v>0</v>
      </c>
      <c r="AG98" s="20">
        <v>242.14511999999968</v>
      </c>
      <c r="AH98" s="20">
        <v>4653.4799999999996</v>
      </c>
    </row>
    <row r="99" spans="1:35" x14ac:dyDescent="0.2">
      <c r="A99" s="375" t="s">
        <v>40</v>
      </c>
      <c r="B99" s="332">
        <v>1005</v>
      </c>
      <c r="C99" s="20">
        <v>0</v>
      </c>
      <c r="D99" s="20">
        <v>0</v>
      </c>
      <c r="E99" s="20">
        <v>0</v>
      </c>
      <c r="F99" s="20">
        <v>0</v>
      </c>
      <c r="G99" s="20">
        <v>0</v>
      </c>
      <c r="H99" s="20">
        <v>0</v>
      </c>
      <c r="I99" s="20">
        <v>0</v>
      </c>
      <c r="J99" s="20">
        <v>0</v>
      </c>
      <c r="K99" s="20">
        <v>0</v>
      </c>
      <c r="L99" s="20">
        <v>0</v>
      </c>
      <c r="M99" s="20">
        <v>0</v>
      </c>
      <c r="N99" s="222">
        <f t="shared" si="24"/>
        <v>0</v>
      </c>
      <c r="O99" s="20">
        <v>0</v>
      </c>
      <c r="P99" s="20">
        <v>0</v>
      </c>
      <c r="Q99" s="222">
        <f t="shared" si="25"/>
        <v>0</v>
      </c>
      <c r="R99" s="20">
        <v>0</v>
      </c>
      <c r="S99" s="222">
        <f t="shared" si="26"/>
        <v>0</v>
      </c>
      <c r="T99" s="20">
        <v>0</v>
      </c>
      <c r="U99" s="20">
        <v>110000</v>
      </c>
      <c r="X99" s="20">
        <v>0</v>
      </c>
      <c r="Y99" s="20">
        <f>SUMIF('Nursery Formula'!C:C,B99,'Nursery Formula'!AQ:AQ)-U99-V99</f>
        <v>422397.89740000013</v>
      </c>
      <c r="Z99" s="20">
        <v>0</v>
      </c>
      <c r="AA99" s="222">
        <f t="shared" si="27"/>
        <v>532397.89740000013</v>
      </c>
      <c r="AC99" s="20">
        <v>0</v>
      </c>
      <c r="AD99" s="20">
        <v>8635</v>
      </c>
      <c r="AF99" s="20">
        <v>0</v>
      </c>
      <c r="AG99" s="20">
        <v>1952.7987599999997</v>
      </c>
      <c r="AH99" s="20">
        <v>14450.28</v>
      </c>
    </row>
    <row r="100" spans="1:35" x14ac:dyDescent="0.2">
      <c r="A100" s="375" t="s">
        <v>41</v>
      </c>
      <c r="B100" s="332">
        <v>1010</v>
      </c>
      <c r="C100" s="20">
        <v>0</v>
      </c>
      <c r="D100" s="20">
        <v>0</v>
      </c>
      <c r="E100" s="20">
        <v>0</v>
      </c>
      <c r="F100" s="20">
        <v>0</v>
      </c>
      <c r="G100" s="20">
        <v>0</v>
      </c>
      <c r="H100" s="20">
        <v>0</v>
      </c>
      <c r="I100" s="20">
        <v>0</v>
      </c>
      <c r="J100" s="20">
        <v>0</v>
      </c>
      <c r="K100" s="20">
        <v>0</v>
      </c>
      <c r="L100" s="20">
        <v>0</v>
      </c>
      <c r="M100" s="20">
        <v>0</v>
      </c>
      <c r="N100" s="222">
        <f t="shared" si="24"/>
        <v>0</v>
      </c>
      <c r="O100" s="20">
        <v>0</v>
      </c>
      <c r="P100" s="20">
        <v>0</v>
      </c>
      <c r="Q100" s="222">
        <f t="shared" si="25"/>
        <v>0</v>
      </c>
      <c r="R100" s="20">
        <v>0</v>
      </c>
      <c r="S100" s="222">
        <f t="shared" si="26"/>
        <v>0</v>
      </c>
      <c r="T100" s="20">
        <v>0</v>
      </c>
      <c r="U100" s="20">
        <v>0</v>
      </c>
      <c r="X100" s="20">
        <v>0</v>
      </c>
      <c r="Y100" s="20">
        <f>SUMIF('Nursery Formula'!C:C,B100,'Nursery Formula'!AQ:AQ)-U100-V100</f>
        <v>294518.12359999988</v>
      </c>
      <c r="Z100" s="20">
        <v>0</v>
      </c>
      <c r="AA100" s="222">
        <f t="shared" si="27"/>
        <v>294518.12359999988</v>
      </c>
      <c r="AC100" s="20">
        <v>0</v>
      </c>
      <c r="AD100" s="20">
        <v>9761</v>
      </c>
      <c r="AF100" s="20">
        <v>0</v>
      </c>
      <c r="AG100" s="20">
        <v>246.8078400000004</v>
      </c>
      <c r="AH100" s="20">
        <v>4408.5600000000004</v>
      </c>
    </row>
    <row r="101" spans="1:35" x14ac:dyDescent="0.2">
      <c r="A101" s="375" t="s">
        <v>42</v>
      </c>
      <c r="B101" s="332">
        <v>1009</v>
      </c>
      <c r="C101" s="20">
        <v>0</v>
      </c>
      <c r="D101" s="20">
        <v>0</v>
      </c>
      <c r="E101" s="20">
        <v>0</v>
      </c>
      <c r="F101" s="20">
        <v>0</v>
      </c>
      <c r="G101" s="20">
        <v>0</v>
      </c>
      <c r="H101" s="20">
        <v>0</v>
      </c>
      <c r="I101" s="20">
        <v>0</v>
      </c>
      <c r="J101" s="20">
        <v>0</v>
      </c>
      <c r="K101" s="20">
        <v>0</v>
      </c>
      <c r="L101" s="20">
        <v>0</v>
      </c>
      <c r="M101" s="20">
        <v>0</v>
      </c>
      <c r="N101" s="222">
        <f t="shared" si="24"/>
        <v>0</v>
      </c>
      <c r="O101" s="20">
        <v>0</v>
      </c>
      <c r="P101" s="20">
        <v>0</v>
      </c>
      <c r="Q101" s="222">
        <f t="shared" si="25"/>
        <v>0</v>
      </c>
      <c r="R101" s="20">
        <v>0</v>
      </c>
      <c r="S101" s="222">
        <f t="shared" si="26"/>
        <v>0</v>
      </c>
      <c r="T101" s="20">
        <v>0</v>
      </c>
      <c r="U101" s="20">
        <v>0</v>
      </c>
      <c r="X101" s="20">
        <v>0</v>
      </c>
      <c r="Y101" s="20">
        <f>SUMIF('Nursery Formula'!C:C,B101,'Nursery Formula'!AQ:AQ)-U101-V101</f>
        <v>380864.89079999999</v>
      </c>
      <c r="Z101" s="20">
        <v>0</v>
      </c>
      <c r="AA101" s="222">
        <f t="shared" si="27"/>
        <v>380864.89079999999</v>
      </c>
      <c r="AC101" s="20">
        <v>0</v>
      </c>
      <c r="AD101" s="20">
        <v>9761</v>
      </c>
      <c r="AF101" s="20">
        <v>0</v>
      </c>
      <c r="AG101" s="20">
        <v>474.98442000000023</v>
      </c>
      <c r="AH101" s="20">
        <v>8082.36</v>
      </c>
    </row>
    <row r="102" spans="1:35" x14ac:dyDescent="0.2">
      <c r="A102" s="375" t="s">
        <v>43</v>
      </c>
      <c r="B102" s="332">
        <v>1015</v>
      </c>
      <c r="C102" s="20">
        <v>0</v>
      </c>
      <c r="D102" s="20">
        <v>0</v>
      </c>
      <c r="E102" s="20">
        <v>0</v>
      </c>
      <c r="F102" s="20">
        <v>0</v>
      </c>
      <c r="G102" s="20">
        <v>0</v>
      </c>
      <c r="H102" s="20">
        <v>0</v>
      </c>
      <c r="I102" s="20">
        <v>0</v>
      </c>
      <c r="J102" s="20">
        <v>0</v>
      </c>
      <c r="K102" s="20">
        <v>0</v>
      </c>
      <c r="L102" s="20">
        <v>0</v>
      </c>
      <c r="M102" s="20">
        <v>0</v>
      </c>
      <c r="N102" s="222">
        <f t="shared" si="24"/>
        <v>0</v>
      </c>
      <c r="O102" s="20">
        <v>0</v>
      </c>
      <c r="P102" s="20">
        <v>0</v>
      </c>
      <c r="Q102" s="222">
        <f t="shared" si="25"/>
        <v>0</v>
      </c>
      <c r="R102" s="20">
        <v>0</v>
      </c>
      <c r="S102" s="222">
        <f t="shared" si="26"/>
        <v>0</v>
      </c>
      <c r="T102" s="20">
        <v>0</v>
      </c>
      <c r="U102" s="20">
        <v>0</v>
      </c>
      <c r="X102" s="20">
        <v>0</v>
      </c>
      <c r="Y102" s="20">
        <f>SUMIF('Nursery Formula'!C:C,B102,'Nursery Formula'!AQ:AQ)-U102-V102</f>
        <v>361018.88720000006</v>
      </c>
      <c r="Z102" s="20">
        <v>0</v>
      </c>
      <c r="AA102" s="222">
        <f t="shared" si="27"/>
        <v>361018.88720000006</v>
      </c>
      <c r="AC102" s="20">
        <v>0</v>
      </c>
      <c r="AD102" s="20">
        <v>22825</v>
      </c>
      <c r="AF102" s="20">
        <v>0</v>
      </c>
      <c r="AG102" s="20">
        <v>307.3466199999998</v>
      </c>
      <c r="AH102" s="20">
        <v>5878.08</v>
      </c>
    </row>
    <row r="103" spans="1:35" x14ac:dyDescent="0.2">
      <c r="S103" s="20"/>
      <c r="AA103" s="20"/>
    </row>
    <row r="104" spans="1:35" ht="15" x14ac:dyDescent="0.25">
      <c r="A104" s="581" t="s">
        <v>781</v>
      </c>
      <c r="B104" s="300"/>
      <c r="C104" s="222">
        <f t="shared" ref="C104:AA104" si="29">SUM(C95:C103)</f>
        <v>0</v>
      </c>
      <c r="D104" s="222">
        <f t="shared" si="29"/>
        <v>0</v>
      </c>
      <c r="E104" s="222">
        <f t="shared" si="29"/>
        <v>0</v>
      </c>
      <c r="F104" s="222">
        <f t="shared" si="29"/>
        <v>0</v>
      </c>
      <c r="G104" s="222">
        <f t="shared" si="29"/>
        <v>0</v>
      </c>
      <c r="H104" s="222">
        <f t="shared" si="29"/>
        <v>0</v>
      </c>
      <c r="I104" s="222">
        <f t="shared" si="29"/>
        <v>0</v>
      </c>
      <c r="J104" s="222">
        <f t="shared" si="29"/>
        <v>0</v>
      </c>
      <c r="K104" s="222">
        <f t="shared" si="29"/>
        <v>0</v>
      </c>
      <c r="L104" s="222">
        <f t="shared" si="29"/>
        <v>0</v>
      </c>
      <c r="M104" s="222">
        <f t="shared" si="29"/>
        <v>0</v>
      </c>
      <c r="N104" s="222">
        <f t="shared" si="29"/>
        <v>0</v>
      </c>
      <c r="O104" s="222">
        <f t="shared" si="29"/>
        <v>0</v>
      </c>
      <c r="P104" s="222">
        <f t="shared" si="29"/>
        <v>0</v>
      </c>
      <c r="Q104" s="222">
        <f t="shared" si="29"/>
        <v>0</v>
      </c>
      <c r="R104" s="222">
        <f t="shared" si="29"/>
        <v>0</v>
      </c>
      <c r="S104" s="222">
        <f t="shared" si="29"/>
        <v>0</v>
      </c>
      <c r="T104" s="222">
        <f t="shared" si="29"/>
        <v>0</v>
      </c>
      <c r="U104" s="222">
        <f t="shared" si="29"/>
        <v>252055</v>
      </c>
      <c r="V104" s="222"/>
      <c r="W104" s="222"/>
      <c r="X104" s="222">
        <f t="shared" si="29"/>
        <v>0</v>
      </c>
      <c r="Y104" s="222">
        <f t="shared" si="29"/>
        <v>2626644.3004000001</v>
      </c>
      <c r="Z104" s="222">
        <f t="shared" si="29"/>
        <v>0</v>
      </c>
      <c r="AA104" s="222">
        <f t="shared" si="29"/>
        <v>2878699.3004000005</v>
      </c>
      <c r="AB104" s="222"/>
      <c r="AC104" s="222">
        <f>SUM(AC95:AC103)</f>
        <v>0</v>
      </c>
      <c r="AD104" s="222">
        <f>SUM(AD95:AD103)</f>
        <v>75258</v>
      </c>
      <c r="AF104" s="222">
        <f>SUM(AF95:AF103)</f>
        <v>0</v>
      </c>
      <c r="AG104" s="222">
        <f>SUM(AG95:AG103)</f>
        <v>6480.2571399999979</v>
      </c>
      <c r="AH104" s="222">
        <f>SUM(AH95:AH103)</f>
        <v>68700.06</v>
      </c>
      <c r="AI104" s="222"/>
    </row>
    <row r="106" spans="1:35" x14ac:dyDescent="0.2">
      <c r="A106" s="223" t="s">
        <v>788</v>
      </c>
      <c r="Y106" s="20">
        <f>Y104+Y91+U104+V104+AC104</f>
        <v>7238296.6400683988</v>
      </c>
    </row>
    <row r="107" spans="1:35" x14ac:dyDescent="0.2">
      <c r="A107" s="198" t="s">
        <v>789</v>
      </c>
      <c r="Y107" s="20">
        <f>'Nursery Formula'!AQ56</f>
        <v>7238296.6400684025</v>
      </c>
    </row>
    <row r="108" spans="1:35" x14ac:dyDescent="0.2">
      <c r="A108" s="198" t="s">
        <v>993</v>
      </c>
      <c r="Y108" s="20">
        <f>'Nursery Formula'!AQ176</f>
        <v>4707946.9402150111</v>
      </c>
      <c r="AA108" s="20">
        <f>Y108</f>
        <v>4707946.9402150111</v>
      </c>
    </row>
    <row r="110" spans="1:35" x14ac:dyDescent="0.2">
      <c r="A110" s="583" t="s">
        <v>792</v>
      </c>
      <c r="B110" s="198">
        <v>4000</v>
      </c>
      <c r="V110" s="20">
        <v>153183</v>
      </c>
      <c r="AA110" s="20">
        <v>153183</v>
      </c>
    </row>
    <row r="111" spans="1:35" x14ac:dyDescent="0.2">
      <c r="A111" s="584" t="s">
        <v>793</v>
      </c>
      <c r="B111" s="198">
        <v>6905</v>
      </c>
      <c r="V111" s="20">
        <v>0</v>
      </c>
    </row>
    <row r="112" spans="1:35" x14ac:dyDescent="0.2">
      <c r="V112" s="222">
        <f>SUM(V110:V111)</f>
        <v>153183</v>
      </c>
      <c r="W112" s="222"/>
    </row>
    <row r="114" spans="1:34" x14ac:dyDescent="0.2">
      <c r="A114" s="223" t="s">
        <v>794</v>
      </c>
      <c r="V114" s="20">
        <f>V112+V104+V91+W91+W104+AD104</f>
        <v>1582716</v>
      </c>
    </row>
    <row r="115" spans="1:34" x14ac:dyDescent="0.2">
      <c r="A115" s="223" t="s">
        <v>795</v>
      </c>
      <c r="V115" s="20">
        <f>V114-1582716</f>
        <v>0</v>
      </c>
    </row>
    <row r="117" spans="1:34" x14ac:dyDescent="0.2">
      <c r="U117" s="20">
        <f>U104+U91</f>
        <v>4555839.5600000005</v>
      </c>
    </row>
    <row r="119" spans="1:34" x14ac:dyDescent="0.2">
      <c r="A119" s="480"/>
      <c r="B119" s="480"/>
      <c r="Y119" s="20">
        <f>Y106-U104+Y108-AD104</f>
        <v>11618930.580283411</v>
      </c>
    </row>
    <row r="120" spans="1:34" x14ac:dyDescent="0.2">
      <c r="A120" s="9" t="s">
        <v>177</v>
      </c>
      <c r="B120" s="9" t="s">
        <v>178</v>
      </c>
      <c r="C120" s="20">
        <f>C104+C91</f>
        <v>98683584.219025001</v>
      </c>
      <c r="D120" s="797">
        <f t="shared" ref="D120:AH120" si="30">D104+D91</f>
        <v>17742138.391672775</v>
      </c>
      <c r="E120" s="797">
        <f t="shared" si="30"/>
        <v>205921.82407809049</v>
      </c>
      <c r="F120" s="797">
        <f t="shared" si="30"/>
        <v>3201102.2855521487</v>
      </c>
      <c r="G120" s="797">
        <f t="shared" si="30"/>
        <v>3664003.6792418282</v>
      </c>
      <c r="H120" s="797">
        <f t="shared" si="30"/>
        <v>477793.73106487282</v>
      </c>
      <c r="I120" s="797">
        <f t="shared" si="30"/>
        <v>9020000</v>
      </c>
      <c r="J120" s="797">
        <f t="shared" si="30"/>
        <v>19329.921551105632</v>
      </c>
      <c r="K120" s="797">
        <f t="shared" si="30"/>
        <v>1759886.5</v>
      </c>
      <c r="L120" s="797">
        <f t="shared" si="30"/>
        <v>1011061</v>
      </c>
      <c r="M120" s="20">
        <f t="shared" si="30"/>
        <v>0</v>
      </c>
      <c r="N120" s="20">
        <f t="shared" si="30"/>
        <v>135784821.55218583</v>
      </c>
      <c r="O120" s="797">
        <f t="shared" si="30"/>
        <v>3964577.3768879818</v>
      </c>
      <c r="P120" s="797">
        <f t="shared" si="30"/>
        <v>-210048.92634482318</v>
      </c>
      <c r="Q120" s="20">
        <f t="shared" si="30"/>
        <v>139539350.002729</v>
      </c>
      <c r="R120" s="20">
        <f t="shared" si="30"/>
        <v>-1777207.9446173818</v>
      </c>
      <c r="S120" s="20">
        <f t="shared" si="30"/>
        <v>137762142.05811161</v>
      </c>
      <c r="T120" s="797">
        <f t="shared" si="30"/>
        <v>1338091</v>
      </c>
      <c r="U120" s="797">
        <f t="shared" si="30"/>
        <v>4555839.5600000005</v>
      </c>
      <c r="V120" s="797">
        <f>V91+V110</f>
        <v>1454401</v>
      </c>
      <c r="W120" s="797">
        <f t="shared" si="30"/>
        <v>53057</v>
      </c>
      <c r="X120" s="797">
        <f t="shared" si="30"/>
        <v>4754155</v>
      </c>
      <c r="Y120" s="20">
        <f>Y104+Y91+Y108-AD104-AF104</f>
        <v>11618930.580283411</v>
      </c>
      <c r="Z120" s="797">
        <f t="shared" si="30"/>
        <v>300645</v>
      </c>
      <c r="AA120" s="20">
        <f>AA104+AA91+AA108+AA110</f>
        <v>161912519.19839501</v>
      </c>
      <c r="AB120" s="20">
        <f t="shared" si="30"/>
        <v>0</v>
      </c>
      <c r="AC120" s="797">
        <f t="shared" si="30"/>
        <v>115003.67499999999</v>
      </c>
      <c r="AD120" s="20">
        <f t="shared" si="30"/>
        <v>75258</v>
      </c>
      <c r="AE120" s="797">
        <f t="shared" si="30"/>
        <v>96906376.274407625</v>
      </c>
      <c r="AF120" s="20">
        <f t="shared" si="30"/>
        <v>0</v>
      </c>
      <c r="AG120" s="20">
        <f t="shared" si="30"/>
        <v>174999.05713999999</v>
      </c>
      <c r="AH120" s="20">
        <f t="shared" si="30"/>
        <v>1660067.76</v>
      </c>
    </row>
    <row r="121" spans="1:34" x14ac:dyDescent="0.2">
      <c r="A121" s="586" t="s">
        <v>867</v>
      </c>
      <c r="B121" s="646">
        <v>12345</v>
      </c>
    </row>
    <row r="122" spans="1:34" x14ac:dyDescent="0.2">
      <c r="A122" s="480">
        <v>1</v>
      </c>
      <c r="B122" s="480"/>
      <c r="C122" s="480">
        <v>3</v>
      </c>
      <c r="D122" s="480">
        <v>4</v>
      </c>
      <c r="E122" s="480">
        <v>5</v>
      </c>
      <c r="F122" s="480">
        <v>6</v>
      </c>
      <c r="G122" s="480">
        <v>7</v>
      </c>
      <c r="H122" s="480">
        <v>8</v>
      </c>
      <c r="I122" s="480">
        <v>9</v>
      </c>
      <c r="J122" s="480">
        <v>10</v>
      </c>
      <c r="K122" s="480">
        <v>11</v>
      </c>
      <c r="L122" s="480">
        <v>12</v>
      </c>
      <c r="M122" s="480">
        <v>13</v>
      </c>
      <c r="N122" s="480">
        <v>14</v>
      </c>
      <c r="O122" s="480">
        <v>15</v>
      </c>
      <c r="P122" s="480">
        <v>16</v>
      </c>
      <c r="Q122" s="480">
        <v>17</v>
      </c>
      <c r="R122" s="480">
        <v>18</v>
      </c>
      <c r="S122" s="480">
        <v>19</v>
      </c>
      <c r="T122" s="480">
        <v>20</v>
      </c>
      <c r="U122" s="480">
        <v>21</v>
      </c>
      <c r="V122" s="480">
        <v>22</v>
      </c>
      <c r="W122" s="480">
        <v>23</v>
      </c>
      <c r="X122" s="480">
        <v>24</v>
      </c>
      <c r="Y122" s="480">
        <v>25</v>
      </c>
      <c r="Z122" s="480">
        <v>26</v>
      </c>
      <c r="AA122" s="480">
        <v>27</v>
      </c>
      <c r="AB122" s="480">
        <v>28</v>
      </c>
      <c r="AC122" s="480">
        <v>29</v>
      </c>
    </row>
    <row r="123" spans="1:34" x14ac:dyDescent="0.2">
      <c r="S123" s="222" t="s">
        <v>995</v>
      </c>
      <c r="U123" s="20" t="s">
        <v>289</v>
      </c>
      <c r="V123" s="20" t="s">
        <v>289</v>
      </c>
      <c r="W123" s="20" t="s">
        <v>289</v>
      </c>
      <c r="Y123" s="20" t="s">
        <v>289</v>
      </c>
    </row>
    <row r="124" spans="1:34" x14ac:dyDescent="0.2">
      <c r="B124" s="198" t="s">
        <v>868</v>
      </c>
      <c r="S124" s="796">
        <f>S120-K120</f>
        <v>136002255.55811161</v>
      </c>
      <c r="U124" s="20">
        <f>U104</f>
        <v>252055</v>
      </c>
      <c r="V124" s="20">
        <f>AD104</f>
        <v>75258</v>
      </c>
      <c r="W124" s="20">
        <f>AF104</f>
        <v>0</v>
      </c>
      <c r="Y124" s="20">
        <f>Y120</f>
        <v>11618930.580283411</v>
      </c>
    </row>
    <row r="125" spans="1:34" x14ac:dyDescent="0.2">
      <c r="Q125" s="20" t="s">
        <v>868</v>
      </c>
      <c r="R125" s="20" t="s">
        <v>289</v>
      </c>
      <c r="S125" s="796">
        <f>U124+V124+Y124</f>
        <v>11946243.580283411</v>
      </c>
      <c r="T125" s="20" t="s">
        <v>994</v>
      </c>
      <c r="U125" s="20" t="s">
        <v>994</v>
      </c>
      <c r="V125" s="20" t="s">
        <v>994</v>
      </c>
      <c r="W125" s="20" t="s">
        <v>994</v>
      </c>
      <c r="X125" s="20" t="s">
        <v>994</v>
      </c>
    </row>
    <row r="126" spans="1:34" x14ac:dyDescent="0.2">
      <c r="R126" s="20" t="s">
        <v>996</v>
      </c>
      <c r="S126" s="796">
        <f>T126</f>
        <v>1338091</v>
      </c>
      <c r="T126" s="20">
        <f>T120</f>
        <v>1338091</v>
      </c>
      <c r="U126" s="797">
        <f>U120-U124</f>
        <v>4303784.5600000005</v>
      </c>
      <c r="V126" s="20">
        <f>V120</f>
        <v>1454401</v>
      </c>
      <c r="W126" s="20">
        <f>W120-W124</f>
        <v>53057</v>
      </c>
      <c r="X126" s="20">
        <f>X120-X124</f>
        <v>4754155</v>
      </c>
      <c r="AA126" s="20"/>
    </row>
    <row r="127" spans="1:34" x14ac:dyDescent="0.2">
      <c r="Q127" s="20" t="s">
        <v>1001</v>
      </c>
      <c r="R127" s="20" t="s">
        <v>286</v>
      </c>
      <c r="S127" s="796">
        <f>U126</f>
        <v>4303784.5600000005</v>
      </c>
    </row>
    <row r="128" spans="1:34" x14ac:dyDescent="0.2">
      <c r="Q128" s="20" t="s">
        <v>1001</v>
      </c>
      <c r="R128" s="20" t="s">
        <v>469</v>
      </c>
      <c r="S128" s="796">
        <f>V126+W126</f>
        <v>1507458</v>
      </c>
    </row>
    <row r="129" spans="16:37" x14ac:dyDescent="0.2">
      <c r="R129" s="222" t="s">
        <v>290</v>
      </c>
      <c r="S129" s="20">
        <f>Z120</f>
        <v>300645</v>
      </c>
      <c r="Z129" s="222"/>
      <c r="AA129" s="20"/>
      <c r="AK129" s="223"/>
    </row>
    <row r="130" spans="16:37" x14ac:dyDescent="0.2">
      <c r="P130" s="18"/>
      <c r="Q130" s="216"/>
      <c r="R130" s="222" t="s">
        <v>291</v>
      </c>
      <c r="S130" s="797">
        <f>SUM(S124:S129)</f>
        <v>155398477.69839501</v>
      </c>
      <c r="T130" s="20">
        <v>155471766.27932662</v>
      </c>
      <c r="U130" s="20">
        <f>T130-S130</f>
        <v>73288.580931603909</v>
      </c>
      <c r="Z130" s="222"/>
      <c r="AA130" s="20"/>
      <c r="AK130" s="223"/>
    </row>
    <row r="131" spans="16:37" x14ac:dyDescent="0.2">
      <c r="P131" s="18"/>
      <c r="Q131" s="216"/>
      <c r="R131" s="250" t="s">
        <v>134</v>
      </c>
      <c r="S131" s="20">
        <f>AG120+AH120</f>
        <v>1835066.8171399999</v>
      </c>
      <c r="U131" s="250"/>
      <c r="Z131" s="222"/>
      <c r="AA131" s="20"/>
      <c r="AK131" s="223"/>
    </row>
    <row r="132" spans="16:37" x14ac:dyDescent="0.2">
      <c r="P132" s="18"/>
      <c r="Q132" s="216"/>
      <c r="R132" s="250" t="s">
        <v>1007</v>
      </c>
      <c r="S132" s="799">
        <f>S131+S130</f>
        <v>157233544.51553503</v>
      </c>
      <c r="T132" s="20">
        <v>157306833.0964666</v>
      </c>
      <c r="U132" s="250">
        <f>T132-S132</f>
        <v>73288.580931574106</v>
      </c>
      <c r="Z132" s="222"/>
      <c r="AA132" s="20"/>
      <c r="AK132" s="223"/>
    </row>
    <row r="133" spans="16:37" x14ac:dyDescent="0.2">
      <c r="P133" s="18"/>
      <c r="Q133" s="216"/>
      <c r="R133" s="250" t="s">
        <v>1008</v>
      </c>
      <c r="S133" s="20">
        <f>AC120+X120</f>
        <v>4869158.6749999998</v>
      </c>
      <c r="Z133" s="222"/>
      <c r="AA133" s="20"/>
      <c r="AK133" s="223"/>
    </row>
    <row r="134" spans="16:37" x14ac:dyDescent="0.2">
      <c r="P134" s="18"/>
      <c r="Q134" s="216"/>
      <c r="R134" s="222" t="s">
        <v>997</v>
      </c>
      <c r="S134" s="222">
        <f>S132+S133</f>
        <v>162102703.19053504</v>
      </c>
      <c r="Z134" s="222"/>
      <c r="AA134" s="20"/>
      <c r="AK134" s="223"/>
    </row>
    <row r="135" spans="16:37" x14ac:dyDescent="0.2">
      <c r="P135" s="18"/>
      <c r="Q135" s="216"/>
      <c r="R135" s="222"/>
      <c r="S135" s="20">
        <f>AA120+AC120+AG120+AH120-K120</f>
        <v>162102703.19053501</v>
      </c>
      <c r="Z135" s="222"/>
      <c r="AA135" s="20"/>
      <c r="AK135" s="223"/>
    </row>
    <row r="136" spans="16:37" x14ac:dyDescent="0.2">
      <c r="P136" s="18"/>
      <c r="Q136" s="216"/>
      <c r="R136" s="222" t="s">
        <v>998</v>
      </c>
      <c r="S136" s="20">
        <f>S135-S134</f>
        <v>0</v>
      </c>
      <c r="Z136" s="222"/>
      <c r="AA136" s="20"/>
      <c r="AK136" s="223"/>
    </row>
    <row r="137" spans="16:37" x14ac:dyDescent="0.2">
      <c r="P137" s="18"/>
      <c r="Q137" s="216"/>
      <c r="R137" s="222"/>
      <c r="S137" s="20"/>
      <c r="Z137" s="222"/>
      <c r="AA137" s="20"/>
      <c r="AK137" s="223"/>
    </row>
    <row r="138" spans="16:37" x14ac:dyDescent="0.2">
      <c r="P138" s="18"/>
      <c r="Q138" s="216"/>
      <c r="R138" s="250" t="s">
        <v>999</v>
      </c>
      <c r="S138" s="20"/>
      <c r="Z138" s="222"/>
      <c r="AA138" s="20"/>
      <c r="AK138" s="223"/>
    </row>
    <row r="139" spans="16:37" x14ac:dyDescent="0.2">
      <c r="P139" s="18"/>
      <c r="Q139" s="216"/>
      <c r="R139" s="222" t="s">
        <v>1000</v>
      </c>
      <c r="S139" s="20">
        <f>'Special Schools &amp; PRU'!D25</f>
        <v>14260884.828859132</v>
      </c>
      <c r="Z139" s="222"/>
      <c r="AA139" s="20"/>
      <c r="AK139" s="223"/>
    </row>
    <row r="140" spans="16:37" x14ac:dyDescent="0.2">
      <c r="P140" s="18"/>
      <c r="Q140" s="216"/>
      <c r="R140" s="222" t="s">
        <v>941</v>
      </c>
      <c r="S140" s="20">
        <f>'Special Schools &amp; PRU'!D27</f>
        <v>128632.74474473442</v>
      </c>
      <c r="Z140" s="222"/>
      <c r="AA140" s="20"/>
      <c r="AK140" s="223"/>
    </row>
    <row r="141" spans="16:37" x14ac:dyDescent="0.2">
      <c r="P141" s="18"/>
      <c r="Q141" s="216"/>
      <c r="R141" s="222"/>
      <c r="S141" s="222">
        <f>S140+S139</f>
        <v>14389517.573603867</v>
      </c>
      <c r="Z141" s="222"/>
      <c r="AA141" s="20"/>
      <c r="AK141" s="223"/>
    </row>
    <row r="142" spans="16:37" x14ac:dyDescent="0.2">
      <c r="P142" s="18"/>
      <c r="Q142" s="216"/>
      <c r="R142" s="222"/>
      <c r="S142" s="20"/>
      <c r="Z142" s="222"/>
      <c r="AA142" s="20"/>
      <c r="AK142" s="223"/>
    </row>
    <row r="143" spans="16:37" x14ac:dyDescent="0.2">
      <c r="P143" s="18"/>
      <c r="Q143" s="216"/>
      <c r="R143" s="222" t="s">
        <v>291</v>
      </c>
      <c r="S143" s="20">
        <f>S141+S134</f>
        <v>176492220.76413891</v>
      </c>
      <c r="Z143" s="222"/>
      <c r="AA143" s="20"/>
      <c r="AK143" s="223"/>
    </row>
    <row r="144" spans="16:37" x14ac:dyDescent="0.2">
      <c r="P144" s="18"/>
      <c r="Q144" s="216"/>
      <c r="R144" s="222"/>
      <c r="S144" s="20"/>
      <c r="Z144" s="222"/>
      <c r="AA144" s="20"/>
      <c r="AK144" s="223"/>
    </row>
    <row r="145" spans="1:37" x14ac:dyDescent="0.2">
      <c r="P145" s="18"/>
      <c r="Q145" s="216"/>
      <c r="R145" s="222"/>
      <c r="S145" s="20"/>
      <c r="Z145" s="222"/>
      <c r="AA145" s="20"/>
      <c r="AK145" s="223"/>
    </row>
    <row r="146" spans="1:37" x14ac:dyDescent="0.2">
      <c r="A146" s="604" t="s">
        <v>561</v>
      </c>
      <c r="B146" s="604">
        <v>206189</v>
      </c>
      <c r="C146" s="603"/>
      <c r="D146" s="603"/>
      <c r="E146" s="604"/>
      <c r="P146" s="18"/>
      <c r="Q146" s="216"/>
      <c r="R146" s="222"/>
      <c r="S146" s="20"/>
      <c r="Z146" s="222"/>
      <c r="AA146" s="20"/>
      <c r="AK146" s="223"/>
    </row>
    <row r="147" spans="1:37" x14ac:dyDescent="0.2">
      <c r="A147" s="605" t="s">
        <v>564</v>
      </c>
      <c r="B147" s="605" t="s">
        <v>565</v>
      </c>
      <c r="C147" s="603"/>
      <c r="D147" s="603"/>
      <c r="E147" s="604"/>
      <c r="P147" s="18"/>
      <c r="Q147" s="216"/>
      <c r="R147" s="222"/>
      <c r="S147" s="20"/>
      <c r="Z147" s="222"/>
      <c r="AA147" s="20"/>
      <c r="AK147" s="223"/>
    </row>
    <row r="148" spans="1:37" x14ac:dyDescent="0.2">
      <c r="A148" s="604" t="s">
        <v>36</v>
      </c>
      <c r="B148" s="604">
        <v>1014</v>
      </c>
      <c r="C148" s="603"/>
      <c r="D148" s="603"/>
      <c r="E148" s="604"/>
      <c r="P148" s="18"/>
      <c r="Q148" s="216"/>
      <c r="R148" s="222"/>
      <c r="S148" s="20"/>
      <c r="Z148" s="222"/>
      <c r="AA148" s="20"/>
      <c r="AK148" s="223"/>
    </row>
    <row r="149" spans="1:37" x14ac:dyDescent="0.2">
      <c r="A149" s="604" t="s">
        <v>566</v>
      </c>
      <c r="B149" s="604" t="s">
        <v>568</v>
      </c>
      <c r="C149" s="603"/>
      <c r="D149" s="603"/>
      <c r="E149" s="604"/>
      <c r="P149" s="18"/>
      <c r="Q149" s="216"/>
      <c r="R149" s="222"/>
      <c r="S149" s="20"/>
      <c r="Z149" s="222"/>
      <c r="AA149" s="20"/>
      <c r="AK149" s="223"/>
    </row>
    <row r="150" spans="1:37" x14ac:dyDescent="0.2">
      <c r="A150" s="605" t="s">
        <v>575</v>
      </c>
      <c r="B150" s="605" t="s">
        <v>576</v>
      </c>
      <c r="C150" s="603"/>
      <c r="D150" s="603"/>
      <c r="E150" s="604"/>
      <c r="P150" s="18"/>
      <c r="Q150" s="216"/>
      <c r="R150" s="222"/>
      <c r="S150" s="20"/>
      <c r="Z150" s="222"/>
      <c r="AA150" s="20"/>
      <c r="AK150" s="223"/>
    </row>
    <row r="151" spans="1:37" x14ac:dyDescent="0.2">
      <c r="A151" s="604" t="s">
        <v>577</v>
      </c>
      <c r="B151" s="604">
        <v>206124</v>
      </c>
      <c r="C151" s="603"/>
      <c r="D151" s="603"/>
      <c r="E151" s="604"/>
      <c r="P151" s="18"/>
      <c r="Q151" s="216"/>
      <c r="R151" s="222"/>
      <c r="S151" s="20"/>
      <c r="Z151" s="222"/>
      <c r="AA151" s="20"/>
      <c r="AK151" s="223"/>
    </row>
    <row r="152" spans="1:37" x14ac:dyDescent="0.2">
      <c r="A152" s="604" t="s">
        <v>580</v>
      </c>
      <c r="B152" s="604" t="s">
        <v>582</v>
      </c>
      <c r="C152" s="603"/>
      <c r="D152" s="603"/>
      <c r="E152" s="604"/>
      <c r="P152" s="18"/>
      <c r="Q152" s="216"/>
      <c r="R152" s="222"/>
      <c r="S152" s="20"/>
      <c r="Z152" s="222"/>
      <c r="AA152" s="20"/>
      <c r="AK152" s="223"/>
    </row>
    <row r="153" spans="1:37" x14ac:dyDescent="0.2">
      <c r="A153" s="604" t="s">
        <v>583</v>
      </c>
      <c r="B153" s="604">
        <v>206126</v>
      </c>
      <c r="C153" s="603"/>
      <c r="D153" s="603"/>
      <c r="E153" s="604"/>
      <c r="P153" s="18"/>
      <c r="Q153" s="216"/>
      <c r="R153" s="222"/>
      <c r="S153" s="20"/>
      <c r="Z153" s="222"/>
      <c r="AA153" s="20"/>
      <c r="AK153" s="223"/>
    </row>
    <row r="154" spans="1:37" x14ac:dyDescent="0.2">
      <c r="A154" s="604" t="s">
        <v>585</v>
      </c>
      <c r="B154" s="604">
        <v>206111</v>
      </c>
      <c r="C154" s="603"/>
      <c r="D154" s="603"/>
      <c r="E154" s="604"/>
      <c r="P154" s="18"/>
      <c r="Q154" s="256"/>
      <c r="R154" s="222"/>
      <c r="S154" s="20"/>
      <c r="Z154" s="222"/>
      <c r="AA154" s="20"/>
      <c r="AK154" s="223"/>
    </row>
    <row r="155" spans="1:37" x14ac:dyDescent="0.2">
      <c r="A155" s="604" t="s">
        <v>587</v>
      </c>
      <c r="B155" s="604">
        <v>206091</v>
      </c>
      <c r="C155" s="603"/>
      <c r="D155" s="603"/>
      <c r="E155" s="604"/>
      <c r="P155" s="582"/>
      <c r="Q155" s="216"/>
      <c r="R155" s="222"/>
      <c r="S155" s="20"/>
      <c r="Z155" s="222"/>
      <c r="AA155" s="20"/>
      <c r="AK155" s="223"/>
    </row>
    <row r="156" spans="1:37" x14ac:dyDescent="0.2">
      <c r="A156" s="604" t="s">
        <v>37</v>
      </c>
      <c r="B156" s="604">
        <v>1017</v>
      </c>
      <c r="C156" s="603"/>
      <c r="D156" s="603"/>
      <c r="E156" s="604"/>
      <c r="P156" s="18"/>
      <c r="Q156" s="216"/>
      <c r="R156" s="222"/>
      <c r="S156" s="20"/>
      <c r="Z156" s="222"/>
      <c r="AA156" s="20"/>
      <c r="AK156" s="223"/>
    </row>
    <row r="157" spans="1:37" x14ac:dyDescent="0.2">
      <c r="A157" s="604" t="s">
        <v>38</v>
      </c>
      <c r="B157" s="604">
        <v>1006</v>
      </c>
      <c r="C157" s="603"/>
      <c r="D157" s="603"/>
      <c r="E157" s="604"/>
      <c r="P157" s="18"/>
      <c r="Q157" s="216"/>
      <c r="R157" s="222"/>
      <c r="S157" s="20"/>
      <c r="Z157" s="222"/>
      <c r="AA157" s="20"/>
      <c r="AK157" s="223"/>
    </row>
    <row r="158" spans="1:37" x14ac:dyDescent="0.2">
      <c r="A158" s="605" t="s">
        <v>589</v>
      </c>
      <c r="B158" s="605" t="s">
        <v>590</v>
      </c>
      <c r="C158" s="603"/>
      <c r="D158" s="603"/>
      <c r="E158" s="604"/>
      <c r="P158" s="18"/>
      <c r="Q158" s="216"/>
      <c r="R158" s="222"/>
      <c r="S158" s="20"/>
      <c r="Z158" s="222"/>
      <c r="AA158" s="20"/>
      <c r="AK158" s="223"/>
    </row>
    <row r="159" spans="1:37" x14ac:dyDescent="0.2">
      <c r="A159" s="604" t="s">
        <v>591</v>
      </c>
      <c r="B159" s="604">
        <v>206128</v>
      </c>
      <c r="C159" s="606"/>
      <c r="D159" s="603"/>
      <c r="E159" s="604"/>
      <c r="P159" s="18"/>
      <c r="Q159" s="216"/>
      <c r="R159" s="222"/>
      <c r="S159" s="20"/>
      <c r="Z159" s="222"/>
      <c r="AA159" s="20"/>
      <c r="AK159" s="223"/>
    </row>
    <row r="160" spans="1:37" x14ac:dyDescent="0.2">
      <c r="A160" s="607" t="s">
        <v>908</v>
      </c>
      <c r="B160" s="647" t="s">
        <v>617</v>
      </c>
      <c r="C160" s="603"/>
      <c r="D160" s="603"/>
      <c r="E160" s="608"/>
      <c r="R160" s="222"/>
      <c r="S160" s="20"/>
      <c r="Z160" s="222"/>
      <c r="AA160" s="20"/>
      <c r="AK160" s="223"/>
    </row>
    <row r="161" spans="1:37" x14ac:dyDescent="0.2">
      <c r="A161" s="609" t="s">
        <v>898</v>
      </c>
      <c r="B161" s="648">
        <v>205921</v>
      </c>
      <c r="C161" s="603"/>
      <c r="D161" s="603"/>
      <c r="E161" s="610"/>
      <c r="R161" s="222"/>
      <c r="S161" s="20"/>
      <c r="Z161" s="222"/>
      <c r="AA161" s="20"/>
      <c r="AK161" s="223"/>
    </row>
    <row r="162" spans="1:37" x14ac:dyDescent="0.2">
      <c r="A162" s="609" t="s">
        <v>897</v>
      </c>
      <c r="B162" s="648">
        <v>205999</v>
      </c>
      <c r="C162" s="603"/>
      <c r="D162" s="603"/>
      <c r="E162" s="610"/>
      <c r="R162" s="222"/>
      <c r="S162" s="20"/>
      <c r="Z162" s="222"/>
      <c r="AA162" s="20"/>
      <c r="AK162" s="223"/>
    </row>
    <row r="163" spans="1:37" x14ac:dyDescent="0.2">
      <c r="A163" s="607" t="s">
        <v>896</v>
      </c>
      <c r="B163" s="647" t="s">
        <v>598</v>
      </c>
      <c r="C163" s="606"/>
      <c r="D163" s="603"/>
      <c r="E163" s="608"/>
      <c r="R163" s="222"/>
      <c r="S163" s="20"/>
      <c r="Z163" s="222"/>
      <c r="AA163" s="20"/>
      <c r="AK163" s="223"/>
    </row>
    <row r="164" spans="1:37" x14ac:dyDescent="0.2">
      <c r="A164" s="611" t="s">
        <v>899</v>
      </c>
      <c r="B164" s="648">
        <v>205922</v>
      </c>
      <c r="C164" s="603"/>
      <c r="D164" s="603"/>
      <c r="E164" s="610"/>
      <c r="R164" s="222"/>
      <c r="S164" s="20"/>
      <c r="Z164" s="222"/>
      <c r="AA164" s="20"/>
      <c r="AK164" s="223"/>
    </row>
    <row r="165" spans="1:37" x14ac:dyDescent="0.2">
      <c r="A165" s="607" t="s">
        <v>900</v>
      </c>
      <c r="B165" s="647" t="s">
        <v>603</v>
      </c>
      <c r="C165" s="603"/>
      <c r="D165" s="603"/>
      <c r="E165" s="608"/>
      <c r="R165" s="222"/>
      <c r="S165" s="20"/>
      <c r="Z165" s="222"/>
      <c r="AA165" s="20"/>
      <c r="AK165" s="223"/>
    </row>
    <row r="166" spans="1:37" x14ac:dyDescent="0.2">
      <c r="A166" s="612" t="s">
        <v>901</v>
      </c>
      <c r="B166" s="647">
        <v>205849</v>
      </c>
      <c r="C166" s="603"/>
      <c r="D166" s="603"/>
      <c r="E166" s="608"/>
      <c r="R166" s="222"/>
      <c r="S166" s="20"/>
      <c r="Z166" s="222"/>
      <c r="AA166" s="20"/>
      <c r="AK166" s="223"/>
    </row>
    <row r="167" spans="1:37" x14ac:dyDescent="0.2">
      <c r="A167" s="609" t="s">
        <v>902</v>
      </c>
      <c r="B167" s="648" t="s">
        <v>606</v>
      </c>
      <c r="C167" s="603"/>
      <c r="D167" s="603"/>
      <c r="E167" s="610"/>
      <c r="R167" s="222"/>
      <c r="S167" s="20"/>
      <c r="Z167" s="222"/>
      <c r="AA167" s="20"/>
      <c r="AK167" s="223"/>
    </row>
    <row r="168" spans="1:37" x14ac:dyDescent="0.2">
      <c r="A168" s="612" t="s">
        <v>903</v>
      </c>
      <c r="B168" s="648">
        <v>2</v>
      </c>
      <c r="C168" s="603"/>
      <c r="D168" s="603"/>
      <c r="E168" s="610"/>
      <c r="R168" s="222"/>
      <c r="S168" s="20"/>
      <c r="Z168" s="222"/>
      <c r="AA168" s="20"/>
      <c r="AK168" s="223"/>
    </row>
    <row r="169" spans="1:37" x14ac:dyDescent="0.2">
      <c r="A169" s="607" t="s">
        <v>904</v>
      </c>
      <c r="B169" s="647">
        <v>205956</v>
      </c>
      <c r="C169" s="603"/>
      <c r="D169" s="603"/>
      <c r="E169" s="608"/>
      <c r="R169" s="222"/>
      <c r="S169" s="20"/>
      <c r="Z169" s="222"/>
      <c r="AA169" s="20"/>
      <c r="AK169" s="223"/>
    </row>
    <row r="170" spans="1:37" x14ac:dyDescent="0.2">
      <c r="A170" s="609" t="s">
        <v>907</v>
      </c>
      <c r="B170" s="647" t="s">
        <v>613</v>
      </c>
      <c r="C170" s="603"/>
      <c r="D170" s="603"/>
      <c r="E170" s="608"/>
      <c r="R170" s="222"/>
      <c r="S170" s="20"/>
      <c r="Z170" s="222"/>
      <c r="AA170" s="20"/>
      <c r="AK170" s="223"/>
    </row>
    <row r="171" spans="1:37" x14ac:dyDescent="0.2">
      <c r="A171" s="609" t="s">
        <v>906</v>
      </c>
      <c r="B171" s="647" t="s">
        <v>615</v>
      </c>
      <c r="C171" s="603"/>
      <c r="D171" s="603"/>
      <c r="E171" s="608"/>
      <c r="R171" s="222"/>
      <c r="S171" s="20"/>
      <c r="Z171" s="222"/>
      <c r="AA171" s="20"/>
      <c r="AK171" s="223"/>
    </row>
    <row r="172" spans="1:37" x14ac:dyDescent="0.2">
      <c r="A172" s="607" t="s">
        <v>905</v>
      </c>
      <c r="B172" s="647" t="s">
        <v>612</v>
      </c>
      <c r="C172" s="603"/>
      <c r="D172" s="603"/>
      <c r="E172" s="608"/>
      <c r="R172" s="222"/>
      <c r="S172" s="20"/>
      <c r="Z172" s="222"/>
      <c r="AA172" s="20"/>
      <c r="AK172" s="223"/>
    </row>
    <row r="173" spans="1:37" x14ac:dyDescent="0.2">
      <c r="A173" s="611" t="s">
        <v>909</v>
      </c>
      <c r="B173" s="647" t="s">
        <v>618</v>
      </c>
      <c r="C173" s="603"/>
      <c r="D173" s="603"/>
      <c r="E173" s="608"/>
      <c r="R173" s="222"/>
      <c r="S173" s="20"/>
      <c r="Z173" s="222"/>
      <c r="AA173" s="20"/>
      <c r="AK173" s="223"/>
    </row>
    <row r="174" spans="1:37" ht="15" x14ac:dyDescent="0.2">
      <c r="A174" s="611" t="s">
        <v>910</v>
      </c>
      <c r="B174" s="649" t="s">
        <v>619</v>
      </c>
      <c r="C174" s="603"/>
      <c r="D174" s="603"/>
      <c r="E174" s="614"/>
      <c r="R174" s="222"/>
      <c r="S174" s="20"/>
      <c r="Z174" s="222"/>
      <c r="AA174" s="20"/>
      <c r="AK174" s="223"/>
    </row>
    <row r="175" spans="1:37" x14ac:dyDescent="0.2">
      <c r="A175" s="615" t="s">
        <v>911</v>
      </c>
      <c r="B175" s="650" t="s">
        <v>620</v>
      </c>
      <c r="C175" s="603"/>
      <c r="D175" s="603"/>
      <c r="E175" s="616"/>
      <c r="R175" s="222"/>
      <c r="S175" s="20"/>
      <c r="Z175" s="222"/>
      <c r="AA175" s="20"/>
      <c r="AK175" s="223"/>
    </row>
    <row r="176" spans="1:37" x14ac:dyDescent="0.2">
      <c r="A176" s="617" t="s">
        <v>621</v>
      </c>
      <c r="B176" s="618" t="s">
        <v>622</v>
      </c>
      <c r="C176" s="603"/>
      <c r="D176" s="603"/>
      <c r="E176" s="604"/>
      <c r="R176" s="222"/>
      <c r="S176" s="20"/>
      <c r="Z176" s="222"/>
      <c r="AA176" s="20"/>
      <c r="AK176" s="223"/>
    </row>
    <row r="177" spans="1:37" x14ac:dyDescent="0.2">
      <c r="A177" s="604" t="s">
        <v>623</v>
      </c>
      <c r="B177" s="604" t="s">
        <v>625</v>
      </c>
      <c r="C177" s="603"/>
      <c r="D177" s="603"/>
      <c r="E177" s="604"/>
      <c r="R177" s="222"/>
      <c r="S177" s="20"/>
      <c r="Z177" s="222"/>
      <c r="AA177" s="20"/>
      <c r="AK177" s="223"/>
    </row>
    <row r="178" spans="1:37" x14ac:dyDescent="0.2">
      <c r="A178" s="604" t="s">
        <v>628</v>
      </c>
      <c r="B178" s="605" t="s">
        <v>629</v>
      </c>
      <c r="C178" s="603"/>
      <c r="D178" s="603"/>
      <c r="E178" s="604"/>
      <c r="R178" s="222"/>
      <c r="S178" s="20"/>
      <c r="Z178" s="222"/>
      <c r="AA178" s="20"/>
      <c r="AK178" s="223"/>
    </row>
    <row r="179" spans="1:37" x14ac:dyDescent="0.2">
      <c r="A179" s="604" t="s">
        <v>630</v>
      </c>
      <c r="B179" s="604">
        <v>258417</v>
      </c>
      <c r="C179" s="603"/>
      <c r="D179" s="603"/>
      <c r="E179" s="604"/>
      <c r="R179" s="222"/>
      <c r="S179" s="20"/>
      <c r="Z179" s="222"/>
      <c r="AA179" s="20"/>
      <c r="AK179" s="223"/>
    </row>
    <row r="180" spans="1:37" x14ac:dyDescent="0.2">
      <c r="A180" s="604" t="s">
        <v>632</v>
      </c>
      <c r="B180" s="604" t="s">
        <v>634</v>
      </c>
      <c r="C180" s="603"/>
      <c r="D180" s="603"/>
      <c r="E180" s="604"/>
      <c r="R180" s="222"/>
      <c r="S180" s="20"/>
      <c r="Z180" s="222"/>
      <c r="AA180" s="20"/>
      <c r="AK180" s="223"/>
    </row>
    <row r="181" spans="1:37" x14ac:dyDescent="0.2">
      <c r="A181" s="604" t="s">
        <v>635</v>
      </c>
      <c r="B181" s="604" t="s">
        <v>637</v>
      </c>
      <c r="C181" s="603"/>
      <c r="D181" s="603"/>
      <c r="E181" s="604"/>
      <c r="R181" s="222"/>
      <c r="S181" s="20"/>
      <c r="Z181" s="222"/>
      <c r="AA181" s="20"/>
      <c r="AK181" s="223"/>
    </row>
    <row r="182" spans="1:37" x14ac:dyDescent="0.2">
      <c r="A182" s="604" t="s">
        <v>638</v>
      </c>
      <c r="B182" s="604">
        <v>206106</v>
      </c>
      <c r="C182" s="603"/>
      <c r="D182" s="603"/>
      <c r="E182" s="604"/>
      <c r="R182" s="222"/>
      <c r="S182" s="20"/>
      <c r="Z182" s="222"/>
      <c r="AA182" s="20"/>
      <c r="AK182" s="223"/>
    </row>
    <row r="183" spans="1:37" x14ac:dyDescent="0.2">
      <c r="A183" s="605" t="s">
        <v>640</v>
      </c>
      <c r="B183" s="605" t="s">
        <v>641</v>
      </c>
      <c r="C183" s="603"/>
      <c r="D183" s="603"/>
      <c r="E183" s="604"/>
      <c r="R183" s="222"/>
      <c r="S183" s="20"/>
      <c r="Z183" s="222"/>
      <c r="AA183" s="20"/>
      <c r="AK183" s="223"/>
    </row>
    <row r="184" spans="1:37" x14ac:dyDescent="0.2">
      <c r="A184" s="604" t="s">
        <v>39</v>
      </c>
      <c r="B184" s="604">
        <v>1008</v>
      </c>
      <c r="C184" s="603"/>
      <c r="D184" s="603"/>
      <c r="E184" s="604"/>
      <c r="R184" s="222"/>
      <c r="S184" s="20"/>
      <c r="Z184" s="222"/>
      <c r="AA184" s="20"/>
      <c r="AK184" s="223"/>
    </row>
    <row r="185" spans="1:37" x14ac:dyDescent="0.2">
      <c r="A185" s="766" t="s">
        <v>642</v>
      </c>
      <c r="B185" s="604" t="s">
        <v>643</v>
      </c>
      <c r="C185" s="603"/>
      <c r="D185" s="603"/>
      <c r="E185" s="604"/>
      <c r="R185" s="222"/>
      <c r="S185" s="20"/>
      <c r="Z185" s="222"/>
      <c r="AA185" s="20"/>
      <c r="AK185" s="223"/>
    </row>
    <row r="186" spans="1:37" x14ac:dyDescent="0.2">
      <c r="A186" s="605" t="s">
        <v>644</v>
      </c>
      <c r="B186" s="605" t="s">
        <v>645</v>
      </c>
      <c r="C186" s="603"/>
      <c r="D186" s="603"/>
      <c r="E186" s="604"/>
      <c r="R186" s="222"/>
      <c r="S186" s="20"/>
      <c r="Z186" s="222"/>
      <c r="AA186" s="20"/>
      <c r="AK186" s="223"/>
    </row>
    <row r="187" spans="1:37" x14ac:dyDescent="0.2">
      <c r="A187" s="604" t="s">
        <v>646</v>
      </c>
      <c r="B187" s="604">
        <v>206133</v>
      </c>
      <c r="C187" s="603"/>
      <c r="D187" s="603"/>
      <c r="E187" s="604"/>
      <c r="R187" s="222"/>
      <c r="S187" s="20"/>
      <c r="Z187" s="222"/>
      <c r="AA187" s="20"/>
      <c r="AK187" s="223"/>
    </row>
    <row r="188" spans="1:37" x14ac:dyDescent="0.2">
      <c r="A188" s="604" t="s">
        <v>648</v>
      </c>
      <c r="B188" s="604" t="s">
        <v>650</v>
      </c>
      <c r="C188" s="603"/>
      <c r="D188" s="603"/>
      <c r="E188" s="604"/>
      <c r="R188" s="222"/>
      <c r="S188" s="20"/>
      <c r="Z188" s="222"/>
      <c r="AA188" s="20"/>
      <c r="AK188" s="223"/>
    </row>
    <row r="189" spans="1:37" x14ac:dyDescent="0.2">
      <c r="A189" s="604" t="s">
        <v>651</v>
      </c>
      <c r="B189" s="604">
        <v>206134</v>
      </c>
      <c r="C189" s="603"/>
      <c r="D189" s="603"/>
      <c r="E189" s="604"/>
      <c r="R189" s="222"/>
      <c r="S189" s="20"/>
      <c r="Z189" s="222"/>
      <c r="AA189" s="20"/>
      <c r="AK189" s="223"/>
    </row>
    <row r="190" spans="1:37" x14ac:dyDescent="0.2">
      <c r="A190" s="604" t="s">
        <v>655</v>
      </c>
      <c r="B190" s="604" t="s">
        <v>656</v>
      </c>
      <c r="C190" s="603"/>
      <c r="D190" s="603"/>
      <c r="E190" s="604"/>
      <c r="R190" s="222"/>
      <c r="S190" s="20"/>
      <c r="Z190" s="222"/>
      <c r="AA190" s="20"/>
      <c r="AK190" s="223"/>
    </row>
    <row r="191" spans="1:37" x14ac:dyDescent="0.2">
      <c r="A191" s="604" t="s">
        <v>657</v>
      </c>
      <c r="B191" s="604" t="s">
        <v>658</v>
      </c>
      <c r="C191" s="603"/>
      <c r="D191" s="603"/>
      <c r="E191" s="604"/>
      <c r="R191" s="222"/>
      <c r="S191" s="20"/>
      <c r="Z191" s="222"/>
      <c r="AA191" s="20"/>
      <c r="AK191" s="223"/>
    </row>
    <row r="192" spans="1:37" x14ac:dyDescent="0.2">
      <c r="A192" s="604" t="s">
        <v>659</v>
      </c>
      <c r="B192" s="604">
        <v>206109</v>
      </c>
      <c r="C192" s="603"/>
      <c r="D192" s="603"/>
      <c r="E192" s="604"/>
      <c r="R192" s="222"/>
      <c r="S192" s="20"/>
      <c r="Z192" s="222"/>
      <c r="AA192" s="20"/>
      <c r="AK192" s="223"/>
    </row>
    <row r="193" spans="1:37" x14ac:dyDescent="0.2">
      <c r="A193" s="604" t="s">
        <v>661</v>
      </c>
      <c r="B193" s="604">
        <v>206110</v>
      </c>
      <c r="C193" s="603"/>
      <c r="D193" s="603"/>
      <c r="E193" s="604"/>
      <c r="P193" s="18"/>
      <c r="Q193" s="216"/>
      <c r="R193" s="222"/>
      <c r="S193" s="20"/>
      <c r="Z193" s="222"/>
      <c r="AA193" s="20"/>
      <c r="AK193" s="223"/>
    </row>
    <row r="194" spans="1:37" x14ac:dyDescent="0.2">
      <c r="A194" s="604" t="s">
        <v>663</v>
      </c>
      <c r="B194" s="604">
        <v>206135</v>
      </c>
      <c r="C194" s="603"/>
      <c r="D194" s="603"/>
      <c r="E194" s="604"/>
      <c r="P194" s="18"/>
      <c r="Q194" s="216"/>
      <c r="R194" s="222"/>
      <c r="S194" s="20"/>
      <c r="Z194" s="222"/>
      <c r="AA194" s="20"/>
      <c r="AK194" s="223"/>
    </row>
    <row r="195" spans="1:37" x14ac:dyDescent="0.2">
      <c r="A195" s="604" t="s">
        <v>665</v>
      </c>
      <c r="B195" s="604">
        <v>509195</v>
      </c>
      <c r="C195" s="603"/>
      <c r="D195" s="603"/>
      <c r="E195" s="604"/>
      <c r="P195" s="18"/>
      <c r="Q195" s="216"/>
      <c r="R195" s="222"/>
      <c r="S195" s="20"/>
      <c r="Z195" s="222"/>
      <c r="AA195" s="20"/>
      <c r="AK195" s="223"/>
    </row>
    <row r="196" spans="1:37" x14ac:dyDescent="0.2">
      <c r="A196" s="617" t="s">
        <v>667</v>
      </c>
      <c r="B196" s="618" t="s">
        <v>668</v>
      </c>
      <c r="C196" s="603"/>
      <c r="D196" s="603"/>
      <c r="E196" s="604"/>
      <c r="P196" s="18"/>
      <c r="Q196" s="216"/>
      <c r="R196" s="222"/>
      <c r="S196" s="20"/>
      <c r="Z196" s="222"/>
      <c r="AA196" s="20"/>
      <c r="AK196" s="223"/>
    </row>
    <row r="197" spans="1:37" x14ac:dyDescent="0.2">
      <c r="A197" s="604" t="s">
        <v>671</v>
      </c>
      <c r="B197" s="604" t="s">
        <v>673</v>
      </c>
      <c r="C197" s="603"/>
      <c r="D197" s="603"/>
      <c r="E197" s="604"/>
      <c r="P197" s="18"/>
      <c r="Q197" s="216"/>
      <c r="R197" s="222"/>
      <c r="S197" s="20"/>
      <c r="Z197" s="222"/>
      <c r="AA197" s="20"/>
      <c r="AK197" s="223"/>
    </row>
    <row r="198" spans="1:37" x14ac:dyDescent="0.2">
      <c r="A198" s="604" t="s">
        <v>674</v>
      </c>
      <c r="B198" s="604">
        <v>509199</v>
      </c>
      <c r="C198" s="603"/>
      <c r="D198" s="603"/>
      <c r="E198" s="604"/>
      <c r="P198" s="18"/>
      <c r="Q198" s="216"/>
      <c r="R198" s="222"/>
      <c r="S198" s="20"/>
      <c r="Z198" s="222"/>
      <c r="AA198" s="20"/>
      <c r="AK198" s="223"/>
    </row>
    <row r="199" spans="1:37" x14ac:dyDescent="0.2">
      <c r="A199" s="604" t="s">
        <v>676</v>
      </c>
      <c r="B199" s="604">
        <v>509197</v>
      </c>
      <c r="C199" s="603"/>
      <c r="D199" s="603"/>
      <c r="E199" s="604"/>
      <c r="P199" s="18"/>
      <c r="Q199" s="216"/>
      <c r="R199" s="222"/>
      <c r="S199" s="20"/>
      <c r="Z199" s="222"/>
      <c r="AA199" s="20"/>
      <c r="AK199" s="223"/>
    </row>
    <row r="200" spans="1:37" x14ac:dyDescent="0.2">
      <c r="A200" s="604" t="s">
        <v>678</v>
      </c>
      <c r="B200" s="604" t="s">
        <v>680</v>
      </c>
      <c r="C200" s="603"/>
      <c r="D200" s="603"/>
      <c r="E200" s="604"/>
      <c r="P200" s="18"/>
      <c r="Q200" s="216"/>
      <c r="R200" s="222"/>
      <c r="S200" s="20"/>
      <c r="Z200" s="222"/>
      <c r="AA200" s="20"/>
      <c r="AK200" s="223"/>
    </row>
    <row r="201" spans="1:37" x14ac:dyDescent="0.2">
      <c r="A201" s="604" t="s">
        <v>40</v>
      </c>
      <c r="B201" s="604">
        <v>1005</v>
      </c>
      <c r="C201" s="603"/>
      <c r="D201" s="603"/>
      <c r="E201" s="604"/>
      <c r="P201" s="18"/>
      <c r="Q201" s="216"/>
      <c r="R201" s="222"/>
      <c r="S201" s="20"/>
      <c r="Z201" s="222"/>
      <c r="AA201" s="20"/>
      <c r="AK201" s="223"/>
    </row>
    <row r="202" spans="1:37" x14ac:dyDescent="0.2">
      <c r="A202" s="604" t="s">
        <v>683</v>
      </c>
      <c r="B202" s="604">
        <v>206117</v>
      </c>
      <c r="C202" s="603"/>
      <c r="D202" s="603"/>
      <c r="E202" s="604"/>
      <c r="P202" s="18"/>
      <c r="Q202" s="216"/>
      <c r="R202" s="222"/>
      <c r="S202" s="20"/>
      <c r="Z202" s="222"/>
      <c r="AA202" s="20"/>
      <c r="AK202" s="223"/>
    </row>
    <row r="203" spans="1:37" x14ac:dyDescent="0.2">
      <c r="A203" s="604" t="s">
        <v>685</v>
      </c>
      <c r="B203" s="604">
        <v>206141</v>
      </c>
      <c r="C203" s="603"/>
      <c r="D203" s="603"/>
      <c r="E203" s="604"/>
      <c r="P203" s="18"/>
      <c r="Q203" s="216"/>
      <c r="R203" s="222"/>
      <c r="S203" s="20"/>
      <c r="Z203" s="222"/>
      <c r="AA203" s="20"/>
      <c r="AK203" s="223"/>
    </row>
    <row r="204" spans="1:37" x14ac:dyDescent="0.2">
      <c r="A204" s="604" t="s">
        <v>687</v>
      </c>
      <c r="B204" s="604" t="s">
        <v>689</v>
      </c>
      <c r="C204" s="603"/>
      <c r="D204" s="603"/>
      <c r="E204" s="604"/>
      <c r="P204" s="18"/>
      <c r="Q204" s="216"/>
      <c r="R204" s="222"/>
      <c r="S204" s="20"/>
      <c r="Z204" s="222"/>
      <c r="AA204" s="20"/>
      <c r="AK204" s="223"/>
    </row>
    <row r="205" spans="1:37" x14ac:dyDescent="0.2">
      <c r="A205" s="604" t="s">
        <v>690</v>
      </c>
      <c r="B205" s="604">
        <v>258404</v>
      </c>
      <c r="C205" s="603"/>
      <c r="D205" s="603"/>
      <c r="E205" s="604"/>
      <c r="P205" s="18"/>
      <c r="Q205" s="216"/>
      <c r="R205" s="222"/>
      <c r="S205" s="20"/>
      <c r="Z205" s="222"/>
      <c r="AA205" s="20"/>
      <c r="AK205" s="223"/>
    </row>
    <row r="206" spans="1:37" x14ac:dyDescent="0.2">
      <c r="A206" s="604" t="s">
        <v>692</v>
      </c>
      <c r="B206" s="604">
        <v>258405</v>
      </c>
      <c r="C206" s="603"/>
      <c r="D206" s="603"/>
      <c r="E206" s="604"/>
      <c r="P206" s="18"/>
      <c r="Q206" s="216"/>
      <c r="R206" s="222"/>
      <c r="S206" s="20"/>
      <c r="Z206" s="222"/>
      <c r="AA206" s="20"/>
      <c r="AK206" s="223"/>
    </row>
    <row r="207" spans="1:37" x14ac:dyDescent="0.2">
      <c r="A207" s="604" t="s">
        <v>694</v>
      </c>
      <c r="B207" s="604">
        <v>258406</v>
      </c>
      <c r="C207" s="603"/>
      <c r="D207" s="603"/>
      <c r="E207" s="604"/>
      <c r="R207" s="222"/>
      <c r="S207" s="20"/>
      <c r="Z207" s="222"/>
      <c r="AA207" s="20"/>
      <c r="AK207" s="223"/>
    </row>
    <row r="208" spans="1:37" x14ac:dyDescent="0.2">
      <c r="A208" s="604" t="s">
        <v>696</v>
      </c>
      <c r="B208" s="604">
        <v>206160</v>
      </c>
      <c r="C208" s="603"/>
      <c r="D208" s="603"/>
      <c r="E208" s="604"/>
      <c r="R208" s="222"/>
      <c r="S208" s="20"/>
      <c r="Z208" s="222"/>
      <c r="AA208" s="20"/>
      <c r="AK208" s="223"/>
    </row>
    <row r="209" spans="1:37" x14ac:dyDescent="0.2">
      <c r="A209" s="604" t="s">
        <v>698</v>
      </c>
      <c r="B209" s="604" t="s">
        <v>700</v>
      </c>
      <c r="C209" s="603"/>
      <c r="D209" s="603"/>
      <c r="E209" s="604"/>
      <c r="R209" s="222"/>
      <c r="S209" s="20"/>
      <c r="Z209" s="222"/>
      <c r="AA209" s="20"/>
      <c r="AK209" s="223"/>
    </row>
    <row r="210" spans="1:37" x14ac:dyDescent="0.2">
      <c r="A210" s="605" t="s">
        <v>701</v>
      </c>
      <c r="B210" s="605" t="s">
        <v>702</v>
      </c>
      <c r="C210" s="603"/>
      <c r="D210" s="603"/>
      <c r="E210" s="604"/>
      <c r="R210" s="222"/>
      <c r="S210" s="20"/>
      <c r="Z210" s="222"/>
      <c r="AA210" s="20"/>
      <c r="AK210" s="223"/>
    </row>
    <row r="211" spans="1:37" x14ac:dyDescent="0.2">
      <c r="A211" s="604" t="s">
        <v>703</v>
      </c>
      <c r="B211" s="604" t="s">
        <v>705</v>
      </c>
      <c r="C211" s="603"/>
      <c r="D211" s="603"/>
      <c r="E211" s="604"/>
      <c r="R211" s="222"/>
      <c r="S211" s="20"/>
      <c r="Z211" s="222"/>
      <c r="AA211" s="20"/>
      <c r="AK211" s="223"/>
    </row>
    <row r="212" spans="1:37" x14ac:dyDescent="0.2">
      <c r="A212" s="604" t="s">
        <v>706</v>
      </c>
      <c r="B212" s="604">
        <v>206146</v>
      </c>
      <c r="C212" s="603"/>
      <c r="D212" s="603"/>
      <c r="E212" s="604"/>
      <c r="R212" s="222"/>
      <c r="S212" s="20"/>
      <c r="Z212" s="222"/>
      <c r="AA212" s="20"/>
      <c r="AK212" s="223"/>
    </row>
    <row r="213" spans="1:37" x14ac:dyDescent="0.2">
      <c r="A213" s="605" t="s">
        <v>708</v>
      </c>
      <c r="B213" s="605" t="s">
        <v>709</v>
      </c>
      <c r="C213" s="603"/>
      <c r="D213" s="603"/>
      <c r="E213" s="604"/>
      <c r="R213" s="222"/>
      <c r="S213" s="20"/>
      <c r="Z213" s="222"/>
      <c r="AA213" s="20"/>
      <c r="AK213" s="223"/>
    </row>
    <row r="214" spans="1:37" x14ac:dyDescent="0.2">
      <c r="A214" s="604" t="s">
        <v>715</v>
      </c>
      <c r="B214" s="604" t="s">
        <v>716</v>
      </c>
      <c r="C214" s="603"/>
      <c r="D214" s="603"/>
      <c r="E214" s="604"/>
      <c r="R214" s="222"/>
      <c r="S214" s="20"/>
      <c r="Z214" s="222"/>
      <c r="AA214" s="20"/>
      <c r="AK214" s="223"/>
    </row>
    <row r="215" spans="1:37" x14ac:dyDescent="0.2">
      <c r="A215" s="604" t="s">
        <v>717</v>
      </c>
      <c r="B215" s="604" t="s">
        <v>719</v>
      </c>
      <c r="C215" s="603"/>
      <c r="D215" s="603"/>
      <c r="E215" s="604"/>
      <c r="R215" s="222"/>
      <c r="S215" s="20"/>
      <c r="Z215" s="222"/>
      <c r="AA215" s="20"/>
      <c r="AK215" s="223"/>
    </row>
    <row r="216" spans="1:37" x14ac:dyDescent="0.2">
      <c r="A216" s="605" t="s">
        <v>720</v>
      </c>
      <c r="B216" s="605" t="s">
        <v>721</v>
      </c>
      <c r="C216" s="603"/>
      <c r="D216" s="603"/>
      <c r="E216" s="604"/>
      <c r="R216" s="222"/>
      <c r="S216" s="20"/>
      <c r="Z216" s="222"/>
      <c r="AA216" s="20"/>
      <c r="AK216" s="223"/>
    </row>
    <row r="217" spans="1:37" x14ac:dyDescent="0.2">
      <c r="A217" s="604" t="s">
        <v>722</v>
      </c>
      <c r="B217" s="604">
        <v>113044</v>
      </c>
      <c r="C217" s="603"/>
      <c r="D217" s="603"/>
      <c r="E217" s="604"/>
      <c r="R217" s="222"/>
      <c r="S217" s="20"/>
      <c r="Z217" s="222"/>
      <c r="AA217" s="20"/>
      <c r="AK217" s="223"/>
    </row>
    <row r="218" spans="1:37" x14ac:dyDescent="0.2">
      <c r="A218" s="604" t="s">
        <v>724</v>
      </c>
      <c r="B218" s="604" t="s">
        <v>726</v>
      </c>
      <c r="C218" s="603"/>
      <c r="D218" s="603"/>
      <c r="E218" s="604"/>
      <c r="R218" s="222"/>
      <c r="S218" s="20"/>
      <c r="Z218" s="222"/>
      <c r="AA218" s="20"/>
      <c r="AK218" s="223"/>
    </row>
    <row r="219" spans="1:37" x14ac:dyDescent="0.2">
      <c r="A219" s="604" t="s">
        <v>727</v>
      </c>
      <c r="B219" s="604" t="s">
        <v>729</v>
      </c>
      <c r="C219" s="606"/>
      <c r="D219" s="603"/>
      <c r="E219" s="604"/>
      <c r="R219" s="222"/>
      <c r="S219" s="20"/>
      <c r="Z219" s="222"/>
      <c r="AA219" s="20"/>
      <c r="AK219" s="223"/>
    </row>
    <row r="220" spans="1:37" x14ac:dyDescent="0.2">
      <c r="A220" s="604" t="s">
        <v>730</v>
      </c>
      <c r="B220" s="604" t="s">
        <v>732</v>
      </c>
      <c r="C220" s="606"/>
      <c r="D220" s="603"/>
      <c r="E220" s="604"/>
      <c r="R220" s="222"/>
      <c r="S220" s="20"/>
      <c r="Z220" s="222"/>
      <c r="AA220" s="20"/>
      <c r="AK220" s="223"/>
    </row>
    <row r="221" spans="1:37" x14ac:dyDescent="0.2">
      <c r="A221" s="604" t="s">
        <v>733</v>
      </c>
      <c r="B221" s="604" t="s">
        <v>735</v>
      </c>
      <c r="C221" s="606"/>
      <c r="D221" s="603"/>
      <c r="E221" s="604"/>
      <c r="R221" s="222"/>
      <c r="S221" s="20"/>
      <c r="Z221" s="222"/>
      <c r="AA221" s="20"/>
      <c r="AK221" s="223"/>
    </row>
    <row r="222" spans="1:37" x14ac:dyDescent="0.2">
      <c r="A222" s="619" t="s">
        <v>736</v>
      </c>
      <c r="B222" s="651" t="s">
        <v>737</v>
      </c>
      <c r="C222" s="606"/>
      <c r="D222" s="603"/>
      <c r="E222" s="620"/>
      <c r="R222" s="222"/>
      <c r="S222" s="20"/>
      <c r="Z222" s="222"/>
      <c r="AA222" s="20"/>
      <c r="AK222" s="223"/>
    </row>
    <row r="223" spans="1:37" x14ac:dyDescent="0.2">
      <c r="A223" s="604" t="s">
        <v>738</v>
      </c>
      <c r="B223" s="604">
        <v>206152</v>
      </c>
      <c r="C223" s="603"/>
      <c r="D223" s="603"/>
      <c r="E223" s="604"/>
      <c r="R223" s="222"/>
      <c r="S223" s="20"/>
      <c r="Z223" s="222"/>
      <c r="AA223" s="20"/>
      <c r="AK223" s="223"/>
    </row>
    <row r="224" spans="1:37" x14ac:dyDescent="0.2">
      <c r="A224" s="604" t="s">
        <v>103</v>
      </c>
      <c r="B224" s="604">
        <v>3158</v>
      </c>
      <c r="C224" s="603"/>
      <c r="D224" s="603"/>
      <c r="E224" s="604"/>
      <c r="R224" s="222"/>
      <c r="S224" s="20"/>
      <c r="Z224" s="222"/>
      <c r="AA224" s="20"/>
      <c r="AK224" s="223"/>
    </row>
    <row r="225" spans="1:37" x14ac:dyDescent="0.2">
      <c r="A225" s="604" t="s">
        <v>740</v>
      </c>
      <c r="B225" s="604">
        <v>206153</v>
      </c>
      <c r="C225" s="603"/>
      <c r="D225" s="603"/>
      <c r="E225" s="604"/>
      <c r="R225" s="222"/>
      <c r="S225" s="20"/>
      <c r="Z225" s="222"/>
      <c r="AA225" s="20"/>
      <c r="AK225" s="223"/>
    </row>
    <row r="226" spans="1:37" x14ac:dyDescent="0.2">
      <c r="A226" s="621" t="s">
        <v>742</v>
      </c>
      <c r="B226" s="604">
        <v>206154</v>
      </c>
      <c r="C226" s="603"/>
      <c r="D226" s="603"/>
      <c r="E226" s="604"/>
      <c r="R226" s="222"/>
      <c r="S226" s="20"/>
      <c r="Z226" s="222"/>
      <c r="AA226" s="20"/>
      <c r="AK226" s="223"/>
    </row>
    <row r="227" spans="1:37" x14ac:dyDescent="0.2">
      <c r="A227" s="605" t="s">
        <v>744</v>
      </c>
      <c r="B227" s="605" t="s">
        <v>745</v>
      </c>
      <c r="C227" s="603"/>
      <c r="D227" s="603"/>
      <c r="E227" s="604"/>
      <c r="F227" s="198"/>
    </row>
    <row r="228" spans="1:37" x14ac:dyDescent="0.2">
      <c r="A228" s="604" t="s">
        <v>41</v>
      </c>
      <c r="B228" s="604">
        <v>1010</v>
      </c>
      <c r="C228" s="603"/>
      <c r="D228" s="603"/>
      <c r="E228" s="604"/>
      <c r="F228" s="198"/>
    </row>
    <row r="229" spans="1:37" x14ac:dyDescent="0.2">
      <c r="A229" s="604" t="s">
        <v>746</v>
      </c>
      <c r="B229" s="604" t="s">
        <v>748</v>
      </c>
      <c r="C229" s="603"/>
      <c r="D229" s="603"/>
      <c r="E229" s="604"/>
      <c r="F229" s="198"/>
    </row>
    <row r="230" spans="1:37" x14ac:dyDescent="0.2">
      <c r="A230" s="604" t="s">
        <v>749</v>
      </c>
      <c r="B230" s="604" t="s">
        <v>751</v>
      </c>
      <c r="C230" s="603"/>
      <c r="D230" s="603"/>
      <c r="E230" s="604"/>
      <c r="F230" s="198"/>
    </row>
    <row r="231" spans="1:37" x14ac:dyDescent="0.2">
      <c r="A231" s="604" t="s">
        <v>752</v>
      </c>
      <c r="B231" s="604">
        <v>206103</v>
      </c>
      <c r="C231" s="603"/>
      <c r="D231" s="603"/>
      <c r="E231" s="604"/>
      <c r="F231" s="198"/>
    </row>
    <row r="232" spans="1:37" x14ac:dyDescent="0.2">
      <c r="A232" s="604" t="s">
        <v>753</v>
      </c>
      <c r="B232" s="604" t="s">
        <v>755</v>
      </c>
      <c r="C232" s="603"/>
      <c r="D232" s="603"/>
      <c r="E232" s="604"/>
      <c r="F232" s="198"/>
    </row>
    <row r="233" spans="1:37" x14ac:dyDescent="0.2">
      <c r="A233" s="604" t="s">
        <v>756</v>
      </c>
      <c r="B233" s="604" t="s">
        <v>758</v>
      </c>
      <c r="C233" s="603"/>
      <c r="D233" s="603"/>
      <c r="E233" s="604"/>
      <c r="F233" s="198"/>
    </row>
    <row r="234" spans="1:37" x14ac:dyDescent="0.2">
      <c r="A234" s="604" t="s">
        <v>759</v>
      </c>
      <c r="B234" s="604">
        <v>258420</v>
      </c>
      <c r="C234" s="603"/>
      <c r="D234" s="603"/>
      <c r="E234" s="604"/>
      <c r="F234" s="198"/>
    </row>
    <row r="235" spans="1:37" x14ac:dyDescent="0.2">
      <c r="A235" s="604" t="s">
        <v>761</v>
      </c>
      <c r="B235" s="604">
        <v>258424</v>
      </c>
      <c r="C235" s="603"/>
      <c r="D235" s="603"/>
      <c r="E235" s="604"/>
      <c r="F235" s="198"/>
    </row>
    <row r="236" spans="1:37" x14ac:dyDescent="0.2">
      <c r="A236" s="604" t="s">
        <v>42</v>
      </c>
      <c r="B236" s="604">
        <v>1009</v>
      </c>
      <c r="C236" s="603"/>
      <c r="D236" s="603"/>
      <c r="E236" s="604"/>
      <c r="F236" s="198"/>
    </row>
    <row r="237" spans="1:37" ht="15" x14ac:dyDescent="0.2">
      <c r="A237" s="613" t="s">
        <v>770</v>
      </c>
      <c r="B237" s="649" t="s">
        <v>771</v>
      </c>
      <c r="C237" s="603"/>
      <c r="D237" s="603"/>
      <c r="E237" s="622"/>
      <c r="F237" s="198"/>
    </row>
    <row r="238" spans="1:37" x14ac:dyDescent="0.2">
      <c r="A238" s="604" t="s">
        <v>765</v>
      </c>
      <c r="B238" s="605" t="s">
        <v>767</v>
      </c>
      <c r="C238" s="603"/>
      <c r="D238" s="603"/>
      <c r="E238" s="604"/>
      <c r="F238" s="198"/>
    </row>
    <row r="239" spans="1:37" x14ac:dyDescent="0.2">
      <c r="A239" s="604" t="s">
        <v>43</v>
      </c>
      <c r="B239" s="604">
        <v>1015</v>
      </c>
      <c r="C239" s="603"/>
      <c r="D239" s="603"/>
      <c r="E239" s="604"/>
      <c r="F239" s="198"/>
    </row>
    <row r="240" spans="1:37" x14ac:dyDescent="0.2">
      <c r="A240" s="826" t="s">
        <v>768</v>
      </c>
      <c r="B240" s="827" t="s">
        <v>769</v>
      </c>
      <c r="C240" s="603"/>
      <c r="D240" s="603"/>
      <c r="E240" s="604"/>
      <c r="F240" s="198"/>
    </row>
    <row r="241" spans="1:6" x14ac:dyDescent="0.2">
      <c r="A241" s="823" t="s">
        <v>772</v>
      </c>
      <c r="B241" s="823">
        <v>509204</v>
      </c>
      <c r="C241" s="603"/>
      <c r="D241" s="603"/>
      <c r="E241" s="604"/>
      <c r="F241" s="198"/>
    </row>
    <row r="242" spans="1:6" x14ac:dyDescent="0.2">
      <c r="A242" s="491" t="s">
        <v>569</v>
      </c>
      <c r="B242" s="654" t="s">
        <v>570</v>
      </c>
      <c r="C242" s="623"/>
      <c r="D242" s="603"/>
      <c r="E242" s="603"/>
      <c r="F242" s="198"/>
    </row>
    <row r="243" spans="1:6" x14ac:dyDescent="0.2">
      <c r="A243" s="665" t="s">
        <v>571</v>
      </c>
      <c r="B243" s="662" t="s">
        <v>572</v>
      </c>
      <c r="C243" s="623"/>
      <c r="D243" s="603"/>
      <c r="E243" s="603"/>
      <c r="F243" s="198"/>
    </row>
    <row r="244" spans="1:6" ht="15" x14ac:dyDescent="0.25">
      <c r="A244" s="665" t="s">
        <v>573</v>
      </c>
      <c r="B244" s="661" t="s">
        <v>574</v>
      </c>
      <c r="C244" s="623"/>
      <c r="D244" s="603"/>
      <c r="E244" s="603"/>
      <c r="F244" s="198"/>
    </row>
    <row r="245" spans="1:6" x14ac:dyDescent="0.2">
      <c r="A245" s="659" t="s">
        <v>593</v>
      </c>
      <c r="B245" s="657" t="s">
        <v>594</v>
      </c>
      <c r="C245" s="623"/>
      <c r="D245" s="586"/>
      <c r="E245" s="586"/>
      <c r="F245" s="198"/>
    </row>
    <row r="246" spans="1:6" x14ac:dyDescent="0.2">
      <c r="A246" s="659" t="s">
        <v>595</v>
      </c>
      <c r="B246" s="657" t="s">
        <v>596</v>
      </c>
      <c r="C246" s="623"/>
      <c r="D246" s="603"/>
      <c r="E246" s="603"/>
      <c r="F246" s="198"/>
    </row>
    <row r="247" spans="1:6" x14ac:dyDescent="0.2">
      <c r="A247" s="331" t="s">
        <v>1026</v>
      </c>
      <c r="B247" s="331" t="s">
        <v>599</v>
      </c>
      <c r="C247" s="623"/>
      <c r="D247" s="586"/>
      <c r="E247" s="586"/>
      <c r="F247" s="198"/>
    </row>
    <row r="248" spans="1:6" x14ac:dyDescent="0.2">
      <c r="A248" s="331" t="s">
        <v>1027</v>
      </c>
      <c r="B248" s="331" t="s">
        <v>600</v>
      </c>
      <c r="C248" s="623"/>
      <c r="D248" s="586"/>
      <c r="E248" s="586"/>
      <c r="F248" s="198"/>
    </row>
    <row r="249" spans="1:6" x14ac:dyDescent="0.2">
      <c r="A249" s="331" t="s">
        <v>1014</v>
      </c>
      <c r="B249" s="331" t="s">
        <v>601</v>
      </c>
      <c r="C249" s="623"/>
      <c r="D249" s="586"/>
      <c r="E249" s="586"/>
      <c r="F249" s="198"/>
    </row>
    <row r="250" spans="1:6" x14ac:dyDescent="0.2">
      <c r="A250" s="331" t="s">
        <v>1015</v>
      </c>
      <c r="B250" s="331" t="s">
        <v>602</v>
      </c>
      <c r="C250" s="623"/>
      <c r="D250" s="586"/>
      <c r="E250" s="586"/>
      <c r="F250" s="198"/>
    </row>
    <row r="251" spans="1:6" x14ac:dyDescent="0.2">
      <c r="A251" s="331" t="s">
        <v>1016</v>
      </c>
      <c r="B251" s="331" t="s">
        <v>604</v>
      </c>
      <c r="C251" s="623"/>
      <c r="D251" s="586"/>
      <c r="E251" s="586"/>
      <c r="F251" s="198"/>
    </row>
    <row r="252" spans="1:6" x14ac:dyDescent="0.2">
      <c r="A252" s="331" t="s">
        <v>1017</v>
      </c>
      <c r="B252" s="331" t="s">
        <v>605</v>
      </c>
      <c r="C252" s="623"/>
      <c r="D252" s="586"/>
      <c r="E252" s="586"/>
      <c r="F252" s="198"/>
    </row>
    <row r="253" spans="1:6" x14ac:dyDescent="0.2">
      <c r="A253" s="612" t="s">
        <v>1018</v>
      </c>
      <c r="B253" s="658" t="s">
        <v>607</v>
      </c>
      <c r="C253" s="623"/>
      <c r="D253" s="586"/>
      <c r="E253" s="586"/>
      <c r="F253" s="198"/>
    </row>
    <row r="254" spans="1:6" x14ac:dyDescent="0.2">
      <c r="A254" s="664" t="s">
        <v>1019</v>
      </c>
      <c r="B254" s="662" t="s">
        <v>608</v>
      </c>
      <c r="C254" s="623"/>
      <c r="D254" s="586"/>
      <c r="E254" s="586"/>
      <c r="F254" s="198"/>
    </row>
    <row r="255" spans="1:6" x14ac:dyDescent="0.2">
      <c r="A255" s="607" t="s">
        <v>1020</v>
      </c>
      <c r="B255" s="807" t="s">
        <v>609</v>
      </c>
      <c r="C255" s="623"/>
      <c r="D255" s="586"/>
      <c r="E255" s="586"/>
      <c r="F255" s="198"/>
    </row>
    <row r="256" spans="1:6" x14ac:dyDescent="0.2">
      <c r="A256" s="808" t="s">
        <v>1021</v>
      </c>
      <c r="B256" s="662" t="s">
        <v>610</v>
      </c>
      <c r="C256" s="623"/>
      <c r="D256" s="586"/>
      <c r="E256" s="586"/>
      <c r="F256" s="198"/>
    </row>
    <row r="257" spans="1:6" x14ac:dyDescent="0.2">
      <c r="A257" s="612" t="s">
        <v>1022</v>
      </c>
      <c r="B257" s="608" t="s">
        <v>611</v>
      </c>
      <c r="C257" s="623"/>
      <c r="D257" s="586"/>
      <c r="E257" s="586"/>
      <c r="F257" s="198"/>
    </row>
    <row r="258" spans="1:6" x14ac:dyDescent="0.2">
      <c r="A258" s="607" t="s">
        <v>905</v>
      </c>
      <c r="B258" s="608" t="s">
        <v>612</v>
      </c>
      <c r="C258" s="623"/>
      <c r="D258" s="586"/>
      <c r="E258" s="586"/>
      <c r="F258" s="198"/>
    </row>
    <row r="259" spans="1:6" x14ac:dyDescent="0.2">
      <c r="A259" s="808" t="s">
        <v>1023</v>
      </c>
      <c r="B259" s="802" t="s">
        <v>614</v>
      </c>
      <c r="C259" s="623"/>
      <c r="D259" s="586"/>
      <c r="E259" s="586"/>
      <c r="F259" s="198"/>
    </row>
    <row r="260" spans="1:6" x14ac:dyDescent="0.2">
      <c r="A260" s="612" t="s">
        <v>1024</v>
      </c>
      <c r="B260" s="608">
        <v>206043</v>
      </c>
      <c r="C260" s="623"/>
      <c r="D260" s="586"/>
      <c r="E260" s="586"/>
      <c r="F260" s="198"/>
    </row>
    <row r="261" spans="1:6" x14ac:dyDescent="0.2">
      <c r="A261" s="611" t="s">
        <v>1025</v>
      </c>
      <c r="B261" s="809" t="s">
        <v>616</v>
      </c>
      <c r="C261" s="623"/>
      <c r="D261" s="586"/>
      <c r="E261" s="586"/>
      <c r="F261" s="198"/>
    </row>
    <row r="262" spans="1:6" x14ac:dyDescent="0.2">
      <c r="A262" s="804" t="s">
        <v>669</v>
      </c>
      <c r="B262" s="722" t="s">
        <v>670</v>
      </c>
      <c r="C262" s="623"/>
      <c r="D262" s="603"/>
      <c r="E262" s="603"/>
      <c r="F262" s="198"/>
    </row>
    <row r="263" spans="1:6" x14ac:dyDescent="0.2">
      <c r="A263" s="659" t="s">
        <v>681</v>
      </c>
      <c r="B263" s="657" t="s">
        <v>682</v>
      </c>
      <c r="C263" s="623"/>
      <c r="D263" s="586"/>
      <c r="E263" s="586"/>
      <c r="F263" s="198"/>
    </row>
    <row r="264" spans="1:6" x14ac:dyDescent="0.2">
      <c r="A264" s="491" t="s">
        <v>653</v>
      </c>
      <c r="B264" s="706" t="s">
        <v>654</v>
      </c>
      <c r="F264" s="198"/>
    </row>
    <row r="265" spans="1:6" x14ac:dyDescent="0.2">
      <c r="A265" s="215" t="s">
        <v>63</v>
      </c>
      <c r="B265" s="823">
        <v>2448</v>
      </c>
      <c r="F265" s="198"/>
    </row>
    <row r="266" spans="1:6" x14ac:dyDescent="0.2">
      <c r="A266" s="215"/>
      <c r="B266" s="823"/>
      <c r="F266" s="198"/>
    </row>
    <row r="267" spans="1:6" x14ac:dyDescent="0.2">
      <c r="A267" s="198"/>
      <c r="F267" s="198"/>
    </row>
    <row r="268" spans="1:6" x14ac:dyDescent="0.2">
      <c r="B268" s="223"/>
      <c r="F268" s="198"/>
    </row>
    <row r="269" spans="1:6" x14ac:dyDescent="0.2">
      <c r="B269" s="223"/>
      <c r="F269" s="198"/>
    </row>
    <row r="270" spans="1:6" x14ac:dyDescent="0.2">
      <c r="B270" s="223"/>
      <c r="F270" s="198"/>
    </row>
    <row r="271" spans="1:6" x14ac:dyDescent="0.2">
      <c r="B271" s="223"/>
      <c r="F271" s="198"/>
    </row>
    <row r="272" spans="1:6" x14ac:dyDescent="0.2">
      <c r="B272" s="223"/>
      <c r="F272" s="198"/>
    </row>
    <row r="273" spans="2:6" x14ac:dyDescent="0.2">
      <c r="B273" s="223"/>
      <c r="F273" s="198"/>
    </row>
    <row r="274" spans="2:6" x14ac:dyDescent="0.2">
      <c r="B274" s="223"/>
      <c r="F274" s="198"/>
    </row>
    <row r="275" spans="2:6" x14ac:dyDescent="0.2">
      <c r="B275" s="223"/>
      <c r="F275" s="198"/>
    </row>
    <row r="276" spans="2:6" x14ac:dyDescent="0.2">
      <c r="B276" s="223"/>
      <c r="F276" s="198"/>
    </row>
    <row r="277" spans="2:6" x14ac:dyDescent="0.2">
      <c r="B277" s="223"/>
      <c r="F277" s="198"/>
    </row>
    <row r="278" spans="2:6" x14ac:dyDescent="0.2">
      <c r="B278" s="223"/>
      <c r="F278" s="198"/>
    </row>
    <row r="279" spans="2:6" x14ac:dyDescent="0.2">
      <c r="B279" s="223"/>
      <c r="F279" s="198"/>
    </row>
    <row r="280" spans="2:6" x14ac:dyDescent="0.2">
      <c r="B280" s="223"/>
      <c r="F280" s="198"/>
    </row>
    <row r="281" spans="2:6" x14ac:dyDescent="0.2">
      <c r="B281" s="223"/>
      <c r="F281" s="198"/>
    </row>
    <row r="282" spans="2:6" x14ac:dyDescent="0.2">
      <c r="B282" s="223"/>
      <c r="F282" s="198"/>
    </row>
    <row r="283" spans="2:6" x14ac:dyDescent="0.2">
      <c r="B283" s="223"/>
      <c r="F283" s="198"/>
    </row>
    <row r="284" spans="2:6" x14ac:dyDescent="0.2">
      <c r="B284" s="223"/>
      <c r="F284" s="198"/>
    </row>
    <row r="285" spans="2:6" x14ac:dyDescent="0.2">
      <c r="B285" s="223"/>
      <c r="F285" s="198"/>
    </row>
    <row r="286" spans="2:6" x14ac:dyDescent="0.2">
      <c r="B286" s="223"/>
      <c r="F286" s="198"/>
    </row>
    <row r="287" spans="2:6" x14ac:dyDescent="0.2">
      <c r="B287" s="223"/>
      <c r="F287" s="198"/>
    </row>
    <row r="288" spans="2:6" x14ac:dyDescent="0.2">
      <c r="B288" s="223"/>
      <c r="F288" s="198"/>
    </row>
    <row r="289" spans="2:6" x14ac:dyDescent="0.2">
      <c r="B289" s="223"/>
      <c r="F289" s="198"/>
    </row>
    <row r="290" spans="2:6" x14ac:dyDescent="0.2">
      <c r="B290" s="223"/>
      <c r="F290" s="198"/>
    </row>
    <row r="291" spans="2:6" x14ac:dyDescent="0.2">
      <c r="B291" s="223"/>
      <c r="F291" s="198"/>
    </row>
    <row r="292" spans="2:6" x14ac:dyDescent="0.2">
      <c r="B292" s="223"/>
      <c r="F292" s="198"/>
    </row>
    <row r="293" spans="2:6" x14ac:dyDescent="0.2">
      <c r="B293" s="223"/>
      <c r="F293" s="198"/>
    </row>
    <row r="294" spans="2:6" x14ac:dyDescent="0.2">
      <c r="B294" s="223"/>
      <c r="F294" s="198"/>
    </row>
    <row r="295" spans="2:6" x14ac:dyDescent="0.2">
      <c r="B295" s="223"/>
      <c r="F295" s="198"/>
    </row>
    <row r="296" spans="2:6" x14ac:dyDescent="0.2">
      <c r="B296" s="223"/>
      <c r="F296" s="198"/>
    </row>
    <row r="297" spans="2:6" x14ac:dyDescent="0.2">
      <c r="B297" s="223"/>
      <c r="F297" s="198"/>
    </row>
    <row r="298" spans="2:6" x14ac:dyDescent="0.2">
      <c r="B298" s="223"/>
      <c r="F298" s="198"/>
    </row>
    <row r="299" spans="2:6" x14ac:dyDescent="0.2">
      <c r="B299" s="223"/>
      <c r="F299" s="198"/>
    </row>
    <row r="300" spans="2:6" x14ac:dyDescent="0.2">
      <c r="B300" s="223"/>
      <c r="F300" s="198"/>
    </row>
    <row r="301" spans="2:6" x14ac:dyDescent="0.2">
      <c r="B301" s="223"/>
      <c r="F301" s="198"/>
    </row>
    <row r="302" spans="2:6" x14ac:dyDescent="0.2">
      <c r="B302" s="223"/>
      <c r="F302" s="198"/>
    </row>
    <row r="303" spans="2:6" x14ac:dyDescent="0.2">
      <c r="B303" s="223"/>
      <c r="F303" s="198"/>
    </row>
    <row r="304" spans="2:6" x14ac:dyDescent="0.2">
      <c r="B304" s="223"/>
      <c r="F304" s="198"/>
    </row>
    <row r="305" spans="2:6" x14ac:dyDescent="0.2">
      <c r="B305" s="223"/>
      <c r="F305" s="198"/>
    </row>
    <row r="306" spans="2:6" x14ac:dyDescent="0.2">
      <c r="B306" s="223"/>
      <c r="F306" s="198"/>
    </row>
    <row r="307" spans="2:6" x14ac:dyDescent="0.2">
      <c r="B307" s="223"/>
      <c r="F307" s="198"/>
    </row>
    <row r="308" spans="2:6" x14ac:dyDescent="0.2">
      <c r="B308" s="223"/>
      <c r="F308" s="198"/>
    </row>
    <row r="309" spans="2:6" x14ac:dyDescent="0.2">
      <c r="B309" s="223"/>
      <c r="F309" s="198"/>
    </row>
    <row r="310" spans="2:6" x14ac:dyDescent="0.2">
      <c r="B310" s="223"/>
      <c r="F310" s="198"/>
    </row>
    <row r="311" spans="2:6" x14ac:dyDescent="0.2">
      <c r="B311" s="223"/>
      <c r="F311" s="198"/>
    </row>
    <row r="312" spans="2:6" x14ac:dyDescent="0.2">
      <c r="B312" s="223"/>
      <c r="F312" s="198"/>
    </row>
  </sheetData>
  <sheetProtection password="EF5C" sheet="1" objects="1" scenarios="1" selectLockedCells="1" selectUnlockedCells="1"/>
  <sortState ref="A129:F309">
    <sortCondition ref="A129:A309"/>
  </sortState>
  <pageMargins left="0.11811023622047245" right="0.11811023622047245" top="0.19685039370078741" bottom="0.19685039370078741" header="0.31496062992125984" footer="0.31496062992125984"/>
  <pageSetup paperSize="9" scale="55" orientation="landscape" r:id="rId1"/>
  <rowBreaks count="1" manualBreakCount="1">
    <brk id="73" max="3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XFD1048576"/>
    </sheetView>
  </sheetViews>
  <sheetFormatPr defaultRowHeight="12.75" x14ac:dyDescent="0.2"/>
  <cols>
    <col min="1" max="1" width="23.28515625" style="324" customWidth="1"/>
    <col min="2" max="7" width="9.140625" style="324"/>
    <col min="8" max="8" width="11.42578125" style="324" bestFit="1" customWidth="1"/>
    <col min="9" max="16384" width="9.140625" style="324"/>
  </cols>
  <sheetData>
    <row r="1" spans="1:8" x14ac:dyDescent="0.2">
      <c r="A1" s="324" t="s">
        <v>867</v>
      </c>
      <c r="C1" s="643" t="s">
        <v>178</v>
      </c>
      <c r="H1" s="642"/>
    </row>
    <row r="2" spans="1:8" x14ac:dyDescent="0.2">
      <c r="A2" s="324" t="s">
        <v>876</v>
      </c>
      <c r="B2" s="324" t="s">
        <v>877</v>
      </c>
      <c r="C2" s="642">
        <v>7026</v>
      </c>
    </row>
    <row r="3" spans="1:8" x14ac:dyDescent="0.2">
      <c r="A3" s="324" t="s">
        <v>878</v>
      </c>
      <c r="B3" s="324" t="s">
        <v>879</v>
      </c>
      <c r="C3" s="324">
        <v>7027</v>
      </c>
    </row>
    <row r="4" spans="1:8" x14ac:dyDescent="0.2">
      <c r="A4" s="324" t="s">
        <v>880</v>
      </c>
      <c r="B4" s="324" t="s">
        <v>881</v>
      </c>
      <c r="C4" s="324">
        <v>7025</v>
      </c>
    </row>
    <row r="5" spans="1:8" x14ac:dyDescent="0.2">
      <c r="A5" s="324" t="s">
        <v>882</v>
      </c>
      <c r="B5" s="324" t="s">
        <v>883</v>
      </c>
      <c r="C5" s="324">
        <v>7024</v>
      </c>
    </row>
    <row r="6" spans="1:8" x14ac:dyDescent="0.2">
      <c r="A6" s="324" t="s">
        <v>1004</v>
      </c>
      <c r="B6" s="324" t="s">
        <v>884</v>
      </c>
      <c r="C6" s="324">
        <v>7021</v>
      </c>
    </row>
    <row r="7" spans="1:8" x14ac:dyDescent="0.2">
      <c r="A7" s="324" t="s">
        <v>297</v>
      </c>
      <c r="B7" s="324" t="s">
        <v>889</v>
      </c>
      <c r="C7" s="324">
        <v>7029</v>
      </c>
    </row>
    <row r="8" spans="1:8" x14ac:dyDescent="0.2">
      <c r="A8" s="642" t="s">
        <v>886</v>
      </c>
      <c r="B8" s="324" t="s">
        <v>887</v>
      </c>
      <c r="C8" s="324">
        <v>1103</v>
      </c>
    </row>
    <row r="9" spans="1:8" x14ac:dyDescent="0.2">
      <c r="A9" s="642" t="s">
        <v>885</v>
      </c>
      <c r="B9" s="324" t="s">
        <v>888</v>
      </c>
      <c r="C9" s="324">
        <v>1104</v>
      </c>
    </row>
    <row r="10" spans="1:8" x14ac:dyDescent="0.2">
      <c r="A10" s="642" t="s">
        <v>862</v>
      </c>
      <c r="C10" s="643" t="s">
        <v>178</v>
      </c>
    </row>
  </sheetData>
  <sheetProtection password="EF5C" sheet="1" objects="1" scenarios="1"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3"/>
  <sheetViews>
    <sheetView zoomScaleNormal="100" workbookViewId="0">
      <pane xSplit="6" ySplit="5" topLeftCell="CQ24" activePane="bottomRight" state="frozen"/>
      <selection activeCell="A21" sqref="A21"/>
      <selection pane="topRight" activeCell="A21" sqref="A21"/>
      <selection pane="bottomLeft" activeCell="A21" sqref="A21"/>
      <selection pane="bottomRight" sqref="A1:XFD1048576"/>
    </sheetView>
  </sheetViews>
  <sheetFormatPr defaultRowHeight="12.75" x14ac:dyDescent="0.2"/>
  <cols>
    <col min="1" max="1" width="9.140625" style="251"/>
    <col min="2" max="3" width="14" style="251" customWidth="1"/>
    <col min="4" max="6" width="15.28515625" style="251" customWidth="1"/>
    <col min="7" max="7" width="2.5703125" style="251" customWidth="1"/>
    <col min="8" max="25" width="9.140625" style="250" customWidth="1"/>
    <col min="26" max="84" width="9.140625" style="251"/>
    <col min="85" max="85" width="2.42578125" style="251" customWidth="1"/>
    <col min="86" max="87" width="13.42578125" style="250" bestFit="1" customWidth="1"/>
    <col min="88" max="94" width="13.42578125" style="250" customWidth="1"/>
    <col min="95" max="95" width="14.5703125" style="250" customWidth="1"/>
    <col min="96" max="96" width="15" style="250" bestFit="1" customWidth="1"/>
    <col min="97" max="97" width="14.140625" style="250" customWidth="1"/>
    <col min="98" max="250" width="9.140625" style="251"/>
    <col min="251" max="251" width="14" style="251" customWidth="1"/>
    <col min="252" max="254" width="15.28515625" style="251" customWidth="1"/>
    <col min="255" max="255" width="2.5703125" style="251" customWidth="1"/>
    <col min="256" max="273" width="0" style="251" hidden="1" customWidth="1"/>
    <col min="274" max="274" width="9.42578125" style="251" customWidth="1"/>
    <col min="275" max="333" width="9.140625" style="251"/>
    <col min="334" max="334" width="2.42578125" style="251" customWidth="1"/>
    <col min="335" max="335" width="13.42578125" style="251" bestFit="1" customWidth="1"/>
    <col min="336" max="339" width="13.42578125" style="251" customWidth="1"/>
    <col min="340" max="340" width="15" style="251" bestFit="1" customWidth="1"/>
    <col min="341" max="341" width="14.140625" style="251" customWidth="1"/>
    <col min="342" max="342" width="3.42578125" style="251" customWidth="1"/>
    <col min="343" max="343" width="19.5703125" style="251" bestFit="1" customWidth="1"/>
    <col min="344" max="344" width="10.140625" style="251" bestFit="1" customWidth="1"/>
    <col min="345" max="345" width="1.140625" style="251" customWidth="1"/>
    <col min="346" max="346" width="9.140625" style="251"/>
    <col min="347" max="347" width="10.140625" style="251" bestFit="1" customWidth="1"/>
    <col min="348" max="348" width="1.140625" style="251" customWidth="1"/>
    <col min="349" max="349" width="10.140625" style="251" bestFit="1" customWidth="1"/>
    <col min="350" max="350" width="11.42578125" style="251" bestFit="1" customWidth="1"/>
    <col min="351" max="506" width="9.140625" style="251"/>
    <col min="507" max="507" width="14" style="251" customWidth="1"/>
    <col min="508" max="510" width="15.28515625" style="251" customWidth="1"/>
    <col min="511" max="511" width="2.5703125" style="251" customWidth="1"/>
    <col min="512" max="529" width="0" style="251" hidden="1" customWidth="1"/>
    <col min="530" max="530" width="9.42578125" style="251" customWidth="1"/>
    <col min="531" max="589" width="9.140625" style="251"/>
    <col min="590" max="590" width="2.42578125" style="251" customWidth="1"/>
    <col min="591" max="591" width="13.42578125" style="251" bestFit="1" customWidth="1"/>
    <col min="592" max="595" width="13.42578125" style="251" customWidth="1"/>
    <col min="596" max="596" width="15" style="251" bestFit="1" customWidth="1"/>
    <col min="597" max="597" width="14.140625" style="251" customWidth="1"/>
    <col min="598" max="598" width="3.42578125" style="251" customWidth="1"/>
    <col min="599" max="599" width="19.5703125" style="251" bestFit="1" customWidth="1"/>
    <col min="600" max="600" width="10.140625" style="251" bestFit="1" customWidth="1"/>
    <col min="601" max="601" width="1.140625" style="251" customWidth="1"/>
    <col min="602" max="602" width="9.140625" style="251"/>
    <col min="603" max="603" width="10.140625" style="251" bestFit="1" customWidth="1"/>
    <col min="604" max="604" width="1.140625" style="251" customWidth="1"/>
    <col min="605" max="605" width="10.140625" style="251" bestFit="1" customWidth="1"/>
    <col min="606" max="606" width="11.42578125" style="251" bestFit="1" customWidth="1"/>
    <col min="607" max="762" width="9.140625" style="251"/>
    <col min="763" max="763" width="14" style="251" customWidth="1"/>
    <col min="764" max="766" width="15.28515625" style="251" customWidth="1"/>
    <col min="767" max="767" width="2.5703125" style="251" customWidth="1"/>
    <col min="768" max="785" width="0" style="251" hidden="1" customWidth="1"/>
    <col min="786" max="786" width="9.42578125" style="251" customWidth="1"/>
    <col min="787" max="845" width="9.140625" style="251"/>
    <col min="846" max="846" width="2.42578125" style="251" customWidth="1"/>
    <col min="847" max="847" width="13.42578125" style="251" bestFit="1" customWidth="1"/>
    <col min="848" max="851" width="13.42578125" style="251" customWidth="1"/>
    <col min="852" max="852" width="15" style="251" bestFit="1" customWidth="1"/>
    <col min="853" max="853" width="14.140625" style="251" customWidth="1"/>
    <col min="854" max="854" width="3.42578125" style="251" customWidth="1"/>
    <col min="855" max="855" width="19.5703125" style="251" bestFit="1" customWidth="1"/>
    <col min="856" max="856" width="10.140625" style="251" bestFit="1" customWidth="1"/>
    <col min="857" max="857" width="1.140625" style="251" customWidth="1"/>
    <col min="858" max="858" width="9.140625" style="251"/>
    <col min="859" max="859" width="10.140625" style="251" bestFit="1" customWidth="1"/>
    <col min="860" max="860" width="1.140625" style="251" customWidth="1"/>
    <col min="861" max="861" width="10.140625" style="251" bestFit="1" customWidth="1"/>
    <col min="862" max="862" width="11.42578125" style="251" bestFit="1" customWidth="1"/>
    <col min="863" max="1018" width="9.140625" style="251"/>
    <col min="1019" max="1019" width="14" style="251" customWidth="1"/>
    <col min="1020" max="1022" width="15.28515625" style="251" customWidth="1"/>
    <col min="1023" max="1023" width="2.5703125" style="251" customWidth="1"/>
    <col min="1024" max="1041" width="0" style="251" hidden="1" customWidth="1"/>
    <col min="1042" max="1042" width="9.42578125" style="251" customWidth="1"/>
    <col min="1043" max="1101" width="9.140625" style="251"/>
    <col min="1102" max="1102" width="2.42578125" style="251" customWidth="1"/>
    <col min="1103" max="1103" width="13.42578125" style="251" bestFit="1" customWidth="1"/>
    <col min="1104" max="1107" width="13.42578125" style="251" customWidth="1"/>
    <col min="1108" max="1108" width="15" style="251" bestFit="1" customWidth="1"/>
    <col min="1109" max="1109" width="14.140625" style="251" customWidth="1"/>
    <col min="1110" max="1110" width="3.42578125" style="251" customWidth="1"/>
    <col min="1111" max="1111" width="19.5703125" style="251" bestFit="1" customWidth="1"/>
    <col min="1112" max="1112" width="10.140625" style="251" bestFit="1" customWidth="1"/>
    <col min="1113" max="1113" width="1.140625" style="251" customWidth="1"/>
    <col min="1114" max="1114" width="9.140625" style="251"/>
    <col min="1115" max="1115" width="10.140625" style="251" bestFit="1" customWidth="1"/>
    <col min="1116" max="1116" width="1.140625" style="251" customWidth="1"/>
    <col min="1117" max="1117" width="10.140625" style="251" bestFit="1" customWidth="1"/>
    <col min="1118" max="1118" width="11.42578125" style="251" bestFit="1" customWidth="1"/>
    <col min="1119" max="1274" width="9.140625" style="251"/>
    <col min="1275" max="1275" width="14" style="251" customWidth="1"/>
    <col min="1276" max="1278" width="15.28515625" style="251" customWidth="1"/>
    <col min="1279" max="1279" width="2.5703125" style="251" customWidth="1"/>
    <col min="1280" max="1297" width="0" style="251" hidden="1" customWidth="1"/>
    <col min="1298" max="1298" width="9.42578125" style="251" customWidth="1"/>
    <col min="1299" max="1357" width="9.140625" style="251"/>
    <col min="1358" max="1358" width="2.42578125" style="251" customWidth="1"/>
    <col min="1359" max="1359" width="13.42578125" style="251" bestFit="1" customWidth="1"/>
    <col min="1360" max="1363" width="13.42578125" style="251" customWidth="1"/>
    <col min="1364" max="1364" width="15" style="251" bestFit="1" customWidth="1"/>
    <col min="1365" max="1365" width="14.140625" style="251" customWidth="1"/>
    <col min="1366" max="1366" width="3.42578125" style="251" customWidth="1"/>
    <col min="1367" max="1367" width="19.5703125" style="251" bestFit="1" customWidth="1"/>
    <col min="1368" max="1368" width="10.140625" style="251" bestFit="1" customWidth="1"/>
    <col min="1369" max="1369" width="1.140625" style="251" customWidth="1"/>
    <col min="1370" max="1370" width="9.140625" style="251"/>
    <col min="1371" max="1371" width="10.140625" style="251" bestFit="1" customWidth="1"/>
    <col min="1372" max="1372" width="1.140625" style="251" customWidth="1"/>
    <col min="1373" max="1373" width="10.140625" style="251" bestFit="1" customWidth="1"/>
    <col min="1374" max="1374" width="11.42578125" style="251" bestFit="1" customWidth="1"/>
    <col min="1375" max="1530" width="9.140625" style="251"/>
    <col min="1531" max="1531" width="14" style="251" customWidth="1"/>
    <col min="1532" max="1534" width="15.28515625" style="251" customWidth="1"/>
    <col min="1535" max="1535" width="2.5703125" style="251" customWidth="1"/>
    <col min="1536" max="1553" width="0" style="251" hidden="1" customWidth="1"/>
    <col min="1554" max="1554" width="9.42578125" style="251" customWidth="1"/>
    <col min="1555" max="1613" width="9.140625" style="251"/>
    <col min="1614" max="1614" width="2.42578125" style="251" customWidth="1"/>
    <col min="1615" max="1615" width="13.42578125" style="251" bestFit="1" customWidth="1"/>
    <col min="1616" max="1619" width="13.42578125" style="251" customWidth="1"/>
    <col min="1620" max="1620" width="15" style="251" bestFit="1" customWidth="1"/>
    <col min="1621" max="1621" width="14.140625" style="251" customWidth="1"/>
    <col min="1622" max="1622" width="3.42578125" style="251" customWidth="1"/>
    <col min="1623" max="1623" width="19.5703125" style="251" bestFit="1" customWidth="1"/>
    <col min="1624" max="1624" width="10.140625" style="251" bestFit="1" customWidth="1"/>
    <col min="1625" max="1625" width="1.140625" style="251" customWidth="1"/>
    <col min="1626" max="1626" width="9.140625" style="251"/>
    <col min="1627" max="1627" width="10.140625" style="251" bestFit="1" customWidth="1"/>
    <col min="1628" max="1628" width="1.140625" style="251" customWidth="1"/>
    <col min="1629" max="1629" width="10.140625" style="251" bestFit="1" customWidth="1"/>
    <col min="1630" max="1630" width="11.42578125" style="251" bestFit="1" customWidth="1"/>
    <col min="1631" max="1786" width="9.140625" style="251"/>
    <col min="1787" max="1787" width="14" style="251" customWidth="1"/>
    <col min="1788" max="1790" width="15.28515625" style="251" customWidth="1"/>
    <col min="1791" max="1791" width="2.5703125" style="251" customWidth="1"/>
    <col min="1792" max="1809" width="0" style="251" hidden="1" customWidth="1"/>
    <col min="1810" max="1810" width="9.42578125" style="251" customWidth="1"/>
    <col min="1811" max="1869" width="9.140625" style="251"/>
    <col min="1870" max="1870" width="2.42578125" style="251" customWidth="1"/>
    <col min="1871" max="1871" width="13.42578125" style="251" bestFit="1" customWidth="1"/>
    <col min="1872" max="1875" width="13.42578125" style="251" customWidth="1"/>
    <col min="1876" max="1876" width="15" style="251" bestFit="1" customWidth="1"/>
    <col min="1877" max="1877" width="14.140625" style="251" customWidth="1"/>
    <col min="1878" max="1878" width="3.42578125" style="251" customWidth="1"/>
    <col min="1879" max="1879" width="19.5703125" style="251" bestFit="1" customWidth="1"/>
    <col min="1880" max="1880" width="10.140625" style="251" bestFit="1" customWidth="1"/>
    <col min="1881" max="1881" width="1.140625" style="251" customWidth="1"/>
    <col min="1882" max="1882" width="9.140625" style="251"/>
    <col min="1883" max="1883" width="10.140625" style="251" bestFit="1" customWidth="1"/>
    <col min="1884" max="1884" width="1.140625" style="251" customWidth="1"/>
    <col min="1885" max="1885" width="10.140625" style="251" bestFit="1" customWidth="1"/>
    <col min="1886" max="1886" width="11.42578125" style="251" bestFit="1" customWidth="1"/>
    <col min="1887" max="2042" width="9.140625" style="251"/>
    <col min="2043" max="2043" width="14" style="251" customWidth="1"/>
    <col min="2044" max="2046" width="15.28515625" style="251" customWidth="1"/>
    <col min="2047" max="2047" width="2.5703125" style="251" customWidth="1"/>
    <col min="2048" max="2065" width="0" style="251" hidden="1" customWidth="1"/>
    <col min="2066" max="2066" width="9.42578125" style="251" customWidth="1"/>
    <col min="2067" max="2125" width="9.140625" style="251"/>
    <col min="2126" max="2126" width="2.42578125" style="251" customWidth="1"/>
    <col min="2127" max="2127" width="13.42578125" style="251" bestFit="1" customWidth="1"/>
    <col min="2128" max="2131" width="13.42578125" style="251" customWidth="1"/>
    <col min="2132" max="2132" width="15" style="251" bestFit="1" customWidth="1"/>
    <col min="2133" max="2133" width="14.140625" style="251" customWidth="1"/>
    <col min="2134" max="2134" width="3.42578125" style="251" customWidth="1"/>
    <col min="2135" max="2135" width="19.5703125" style="251" bestFit="1" customWidth="1"/>
    <col min="2136" max="2136" width="10.140625" style="251" bestFit="1" customWidth="1"/>
    <col min="2137" max="2137" width="1.140625" style="251" customWidth="1"/>
    <col min="2138" max="2138" width="9.140625" style="251"/>
    <col min="2139" max="2139" width="10.140625" style="251" bestFit="1" customWidth="1"/>
    <col min="2140" max="2140" width="1.140625" style="251" customWidth="1"/>
    <col min="2141" max="2141" width="10.140625" style="251" bestFit="1" customWidth="1"/>
    <col min="2142" max="2142" width="11.42578125" style="251" bestFit="1" customWidth="1"/>
    <col min="2143" max="2298" width="9.140625" style="251"/>
    <col min="2299" max="2299" width="14" style="251" customWidth="1"/>
    <col min="2300" max="2302" width="15.28515625" style="251" customWidth="1"/>
    <col min="2303" max="2303" width="2.5703125" style="251" customWidth="1"/>
    <col min="2304" max="2321" width="0" style="251" hidden="1" customWidth="1"/>
    <col min="2322" max="2322" width="9.42578125" style="251" customWidth="1"/>
    <col min="2323" max="2381" width="9.140625" style="251"/>
    <col min="2382" max="2382" width="2.42578125" style="251" customWidth="1"/>
    <col min="2383" max="2383" width="13.42578125" style="251" bestFit="1" customWidth="1"/>
    <col min="2384" max="2387" width="13.42578125" style="251" customWidth="1"/>
    <col min="2388" max="2388" width="15" style="251" bestFit="1" customWidth="1"/>
    <col min="2389" max="2389" width="14.140625" style="251" customWidth="1"/>
    <col min="2390" max="2390" width="3.42578125" style="251" customWidth="1"/>
    <col min="2391" max="2391" width="19.5703125" style="251" bestFit="1" customWidth="1"/>
    <col min="2392" max="2392" width="10.140625" style="251" bestFit="1" customWidth="1"/>
    <col min="2393" max="2393" width="1.140625" style="251" customWidth="1"/>
    <col min="2394" max="2394" width="9.140625" style="251"/>
    <col min="2395" max="2395" width="10.140625" style="251" bestFit="1" customWidth="1"/>
    <col min="2396" max="2396" width="1.140625" style="251" customWidth="1"/>
    <col min="2397" max="2397" width="10.140625" style="251" bestFit="1" customWidth="1"/>
    <col min="2398" max="2398" width="11.42578125" style="251" bestFit="1" customWidth="1"/>
    <col min="2399" max="2554" width="9.140625" style="251"/>
    <col min="2555" max="2555" width="14" style="251" customWidth="1"/>
    <col min="2556" max="2558" width="15.28515625" style="251" customWidth="1"/>
    <col min="2559" max="2559" width="2.5703125" style="251" customWidth="1"/>
    <col min="2560" max="2577" width="0" style="251" hidden="1" customWidth="1"/>
    <col min="2578" max="2578" width="9.42578125" style="251" customWidth="1"/>
    <col min="2579" max="2637" width="9.140625" style="251"/>
    <col min="2638" max="2638" width="2.42578125" style="251" customWidth="1"/>
    <col min="2639" max="2639" width="13.42578125" style="251" bestFit="1" customWidth="1"/>
    <col min="2640" max="2643" width="13.42578125" style="251" customWidth="1"/>
    <col min="2644" max="2644" width="15" style="251" bestFit="1" customWidth="1"/>
    <col min="2645" max="2645" width="14.140625" style="251" customWidth="1"/>
    <col min="2646" max="2646" width="3.42578125" style="251" customWidth="1"/>
    <col min="2647" max="2647" width="19.5703125" style="251" bestFit="1" customWidth="1"/>
    <col min="2648" max="2648" width="10.140625" style="251" bestFit="1" customWidth="1"/>
    <col min="2649" max="2649" width="1.140625" style="251" customWidth="1"/>
    <col min="2650" max="2650" width="9.140625" style="251"/>
    <col min="2651" max="2651" width="10.140625" style="251" bestFit="1" customWidth="1"/>
    <col min="2652" max="2652" width="1.140625" style="251" customWidth="1"/>
    <col min="2653" max="2653" width="10.140625" style="251" bestFit="1" customWidth="1"/>
    <col min="2654" max="2654" width="11.42578125" style="251" bestFit="1" customWidth="1"/>
    <col min="2655" max="2810" width="9.140625" style="251"/>
    <col min="2811" max="2811" width="14" style="251" customWidth="1"/>
    <col min="2812" max="2814" width="15.28515625" style="251" customWidth="1"/>
    <col min="2815" max="2815" width="2.5703125" style="251" customWidth="1"/>
    <col min="2816" max="2833" width="0" style="251" hidden="1" customWidth="1"/>
    <col min="2834" max="2834" width="9.42578125" style="251" customWidth="1"/>
    <col min="2835" max="2893" width="9.140625" style="251"/>
    <col min="2894" max="2894" width="2.42578125" style="251" customWidth="1"/>
    <col min="2895" max="2895" width="13.42578125" style="251" bestFit="1" customWidth="1"/>
    <col min="2896" max="2899" width="13.42578125" style="251" customWidth="1"/>
    <col min="2900" max="2900" width="15" style="251" bestFit="1" customWidth="1"/>
    <col min="2901" max="2901" width="14.140625" style="251" customWidth="1"/>
    <col min="2902" max="2902" width="3.42578125" style="251" customWidth="1"/>
    <col min="2903" max="2903" width="19.5703125" style="251" bestFit="1" customWidth="1"/>
    <col min="2904" max="2904" width="10.140625" style="251" bestFit="1" customWidth="1"/>
    <col min="2905" max="2905" width="1.140625" style="251" customWidth="1"/>
    <col min="2906" max="2906" width="9.140625" style="251"/>
    <col min="2907" max="2907" width="10.140625" style="251" bestFit="1" customWidth="1"/>
    <col min="2908" max="2908" width="1.140625" style="251" customWidth="1"/>
    <col min="2909" max="2909" width="10.140625" style="251" bestFit="1" customWidth="1"/>
    <col min="2910" max="2910" width="11.42578125" style="251" bestFit="1" customWidth="1"/>
    <col min="2911" max="3066" width="9.140625" style="251"/>
    <col min="3067" max="3067" width="14" style="251" customWidth="1"/>
    <col min="3068" max="3070" width="15.28515625" style="251" customWidth="1"/>
    <col min="3071" max="3071" width="2.5703125" style="251" customWidth="1"/>
    <col min="3072" max="3089" width="0" style="251" hidden="1" customWidth="1"/>
    <col min="3090" max="3090" width="9.42578125" style="251" customWidth="1"/>
    <col min="3091" max="3149" width="9.140625" style="251"/>
    <col min="3150" max="3150" width="2.42578125" style="251" customWidth="1"/>
    <col min="3151" max="3151" width="13.42578125" style="251" bestFit="1" customWidth="1"/>
    <col min="3152" max="3155" width="13.42578125" style="251" customWidth="1"/>
    <col min="3156" max="3156" width="15" style="251" bestFit="1" customWidth="1"/>
    <col min="3157" max="3157" width="14.140625" style="251" customWidth="1"/>
    <col min="3158" max="3158" width="3.42578125" style="251" customWidth="1"/>
    <col min="3159" max="3159" width="19.5703125" style="251" bestFit="1" customWidth="1"/>
    <col min="3160" max="3160" width="10.140625" style="251" bestFit="1" customWidth="1"/>
    <col min="3161" max="3161" width="1.140625" style="251" customWidth="1"/>
    <col min="3162" max="3162" width="9.140625" style="251"/>
    <col min="3163" max="3163" width="10.140625" style="251" bestFit="1" customWidth="1"/>
    <col min="3164" max="3164" width="1.140625" style="251" customWidth="1"/>
    <col min="3165" max="3165" width="10.140625" style="251" bestFit="1" customWidth="1"/>
    <col min="3166" max="3166" width="11.42578125" style="251" bestFit="1" customWidth="1"/>
    <col min="3167" max="3322" width="9.140625" style="251"/>
    <col min="3323" max="3323" width="14" style="251" customWidth="1"/>
    <col min="3324" max="3326" width="15.28515625" style="251" customWidth="1"/>
    <col min="3327" max="3327" width="2.5703125" style="251" customWidth="1"/>
    <col min="3328" max="3345" width="0" style="251" hidden="1" customWidth="1"/>
    <col min="3346" max="3346" width="9.42578125" style="251" customWidth="1"/>
    <col min="3347" max="3405" width="9.140625" style="251"/>
    <col min="3406" max="3406" width="2.42578125" style="251" customWidth="1"/>
    <col min="3407" max="3407" width="13.42578125" style="251" bestFit="1" customWidth="1"/>
    <col min="3408" max="3411" width="13.42578125" style="251" customWidth="1"/>
    <col min="3412" max="3412" width="15" style="251" bestFit="1" customWidth="1"/>
    <col min="3413" max="3413" width="14.140625" style="251" customWidth="1"/>
    <col min="3414" max="3414" width="3.42578125" style="251" customWidth="1"/>
    <col min="3415" max="3415" width="19.5703125" style="251" bestFit="1" customWidth="1"/>
    <col min="3416" max="3416" width="10.140625" style="251" bestFit="1" customWidth="1"/>
    <col min="3417" max="3417" width="1.140625" style="251" customWidth="1"/>
    <col min="3418" max="3418" width="9.140625" style="251"/>
    <col min="3419" max="3419" width="10.140625" style="251" bestFit="1" customWidth="1"/>
    <col min="3420" max="3420" width="1.140625" style="251" customWidth="1"/>
    <col min="3421" max="3421" width="10.140625" style="251" bestFit="1" customWidth="1"/>
    <col min="3422" max="3422" width="11.42578125" style="251" bestFit="1" customWidth="1"/>
    <col min="3423" max="3578" width="9.140625" style="251"/>
    <col min="3579" max="3579" width="14" style="251" customWidth="1"/>
    <col min="3580" max="3582" width="15.28515625" style="251" customWidth="1"/>
    <col min="3583" max="3583" width="2.5703125" style="251" customWidth="1"/>
    <col min="3584" max="3601" width="0" style="251" hidden="1" customWidth="1"/>
    <col min="3602" max="3602" width="9.42578125" style="251" customWidth="1"/>
    <col min="3603" max="3661" width="9.140625" style="251"/>
    <col min="3662" max="3662" width="2.42578125" style="251" customWidth="1"/>
    <col min="3663" max="3663" width="13.42578125" style="251" bestFit="1" customWidth="1"/>
    <col min="3664" max="3667" width="13.42578125" style="251" customWidth="1"/>
    <col min="3668" max="3668" width="15" style="251" bestFit="1" customWidth="1"/>
    <col min="3669" max="3669" width="14.140625" style="251" customWidth="1"/>
    <col min="3670" max="3670" width="3.42578125" style="251" customWidth="1"/>
    <col min="3671" max="3671" width="19.5703125" style="251" bestFit="1" customWidth="1"/>
    <col min="3672" max="3672" width="10.140625" style="251" bestFit="1" customWidth="1"/>
    <col min="3673" max="3673" width="1.140625" style="251" customWidth="1"/>
    <col min="3674" max="3674" width="9.140625" style="251"/>
    <col min="3675" max="3675" width="10.140625" style="251" bestFit="1" customWidth="1"/>
    <col min="3676" max="3676" width="1.140625" style="251" customWidth="1"/>
    <col min="3677" max="3677" width="10.140625" style="251" bestFit="1" customWidth="1"/>
    <col min="3678" max="3678" width="11.42578125" style="251" bestFit="1" customWidth="1"/>
    <col min="3679" max="3834" width="9.140625" style="251"/>
    <col min="3835" max="3835" width="14" style="251" customWidth="1"/>
    <col min="3836" max="3838" width="15.28515625" style="251" customWidth="1"/>
    <col min="3839" max="3839" width="2.5703125" style="251" customWidth="1"/>
    <col min="3840" max="3857" width="0" style="251" hidden="1" customWidth="1"/>
    <col min="3858" max="3858" width="9.42578125" style="251" customWidth="1"/>
    <col min="3859" max="3917" width="9.140625" style="251"/>
    <col min="3918" max="3918" width="2.42578125" style="251" customWidth="1"/>
    <col min="3919" max="3919" width="13.42578125" style="251" bestFit="1" customWidth="1"/>
    <col min="3920" max="3923" width="13.42578125" style="251" customWidth="1"/>
    <col min="3924" max="3924" width="15" style="251" bestFit="1" customWidth="1"/>
    <col min="3925" max="3925" width="14.140625" style="251" customWidth="1"/>
    <col min="3926" max="3926" width="3.42578125" style="251" customWidth="1"/>
    <col min="3927" max="3927" width="19.5703125" style="251" bestFit="1" customWidth="1"/>
    <col min="3928" max="3928" width="10.140625" style="251" bestFit="1" customWidth="1"/>
    <col min="3929" max="3929" width="1.140625" style="251" customWidth="1"/>
    <col min="3930" max="3930" width="9.140625" style="251"/>
    <col min="3931" max="3931" width="10.140625" style="251" bestFit="1" customWidth="1"/>
    <col min="3932" max="3932" width="1.140625" style="251" customWidth="1"/>
    <col min="3933" max="3933" width="10.140625" style="251" bestFit="1" customWidth="1"/>
    <col min="3934" max="3934" width="11.42578125" style="251" bestFit="1" customWidth="1"/>
    <col min="3935" max="4090" width="9.140625" style="251"/>
    <col min="4091" max="4091" width="14" style="251" customWidth="1"/>
    <col min="4092" max="4094" width="15.28515625" style="251" customWidth="1"/>
    <col min="4095" max="4095" width="2.5703125" style="251" customWidth="1"/>
    <col min="4096" max="4113" width="0" style="251" hidden="1" customWidth="1"/>
    <col min="4114" max="4114" width="9.42578125" style="251" customWidth="1"/>
    <col min="4115" max="4173" width="9.140625" style="251"/>
    <col min="4174" max="4174" width="2.42578125" style="251" customWidth="1"/>
    <col min="4175" max="4175" width="13.42578125" style="251" bestFit="1" customWidth="1"/>
    <col min="4176" max="4179" width="13.42578125" style="251" customWidth="1"/>
    <col min="4180" max="4180" width="15" style="251" bestFit="1" customWidth="1"/>
    <col min="4181" max="4181" width="14.140625" style="251" customWidth="1"/>
    <col min="4182" max="4182" width="3.42578125" style="251" customWidth="1"/>
    <col min="4183" max="4183" width="19.5703125" style="251" bestFit="1" customWidth="1"/>
    <col min="4184" max="4184" width="10.140625" style="251" bestFit="1" customWidth="1"/>
    <col min="4185" max="4185" width="1.140625" style="251" customWidth="1"/>
    <col min="4186" max="4186" width="9.140625" style="251"/>
    <col min="4187" max="4187" width="10.140625" style="251" bestFit="1" customWidth="1"/>
    <col min="4188" max="4188" width="1.140625" style="251" customWidth="1"/>
    <col min="4189" max="4189" width="10.140625" style="251" bestFit="1" customWidth="1"/>
    <col min="4190" max="4190" width="11.42578125" style="251" bestFit="1" customWidth="1"/>
    <col min="4191" max="4346" width="9.140625" style="251"/>
    <col min="4347" max="4347" width="14" style="251" customWidth="1"/>
    <col min="4348" max="4350" width="15.28515625" style="251" customWidth="1"/>
    <col min="4351" max="4351" width="2.5703125" style="251" customWidth="1"/>
    <col min="4352" max="4369" width="0" style="251" hidden="1" customWidth="1"/>
    <col min="4370" max="4370" width="9.42578125" style="251" customWidth="1"/>
    <col min="4371" max="4429" width="9.140625" style="251"/>
    <col min="4430" max="4430" width="2.42578125" style="251" customWidth="1"/>
    <col min="4431" max="4431" width="13.42578125" style="251" bestFit="1" customWidth="1"/>
    <col min="4432" max="4435" width="13.42578125" style="251" customWidth="1"/>
    <col min="4436" max="4436" width="15" style="251" bestFit="1" customWidth="1"/>
    <col min="4437" max="4437" width="14.140625" style="251" customWidth="1"/>
    <col min="4438" max="4438" width="3.42578125" style="251" customWidth="1"/>
    <col min="4439" max="4439" width="19.5703125" style="251" bestFit="1" customWidth="1"/>
    <col min="4440" max="4440" width="10.140625" style="251" bestFit="1" customWidth="1"/>
    <col min="4441" max="4441" width="1.140625" style="251" customWidth="1"/>
    <col min="4442" max="4442" width="9.140625" style="251"/>
    <col min="4443" max="4443" width="10.140625" style="251" bestFit="1" customWidth="1"/>
    <col min="4444" max="4444" width="1.140625" style="251" customWidth="1"/>
    <col min="4445" max="4445" width="10.140625" style="251" bestFit="1" customWidth="1"/>
    <col min="4446" max="4446" width="11.42578125" style="251" bestFit="1" customWidth="1"/>
    <col min="4447" max="4602" width="9.140625" style="251"/>
    <col min="4603" max="4603" width="14" style="251" customWidth="1"/>
    <col min="4604" max="4606" width="15.28515625" style="251" customWidth="1"/>
    <col min="4607" max="4607" width="2.5703125" style="251" customWidth="1"/>
    <col min="4608" max="4625" width="0" style="251" hidden="1" customWidth="1"/>
    <col min="4626" max="4626" width="9.42578125" style="251" customWidth="1"/>
    <col min="4627" max="4685" width="9.140625" style="251"/>
    <col min="4686" max="4686" width="2.42578125" style="251" customWidth="1"/>
    <col min="4687" max="4687" width="13.42578125" style="251" bestFit="1" customWidth="1"/>
    <col min="4688" max="4691" width="13.42578125" style="251" customWidth="1"/>
    <col min="4692" max="4692" width="15" style="251" bestFit="1" customWidth="1"/>
    <col min="4693" max="4693" width="14.140625" style="251" customWidth="1"/>
    <col min="4694" max="4694" width="3.42578125" style="251" customWidth="1"/>
    <col min="4695" max="4695" width="19.5703125" style="251" bestFit="1" customWidth="1"/>
    <col min="4696" max="4696" width="10.140625" style="251" bestFit="1" customWidth="1"/>
    <col min="4697" max="4697" width="1.140625" style="251" customWidth="1"/>
    <col min="4698" max="4698" width="9.140625" style="251"/>
    <col min="4699" max="4699" width="10.140625" style="251" bestFit="1" customWidth="1"/>
    <col min="4700" max="4700" width="1.140625" style="251" customWidth="1"/>
    <col min="4701" max="4701" width="10.140625" style="251" bestFit="1" customWidth="1"/>
    <col min="4702" max="4702" width="11.42578125" style="251" bestFit="1" customWidth="1"/>
    <col min="4703" max="4858" width="9.140625" style="251"/>
    <col min="4859" max="4859" width="14" style="251" customWidth="1"/>
    <col min="4860" max="4862" width="15.28515625" style="251" customWidth="1"/>
    <col min="4863" max="4863" width="2.5703125" style="251" customWidth="1"/>
    <col min="4864" max="4881" width="0" style="251" hidden="1" customWidth="1"/>
    <col min="4882" max="4882" width="9.42578125" style="251" customWidth="1"/>
    <col min="4883" max="4941" width="9.140625" style="251"/>
    <col min="4942" max="4942" width="2.42578125" style="251" customWidth="1"/>
    <col min="4943" max="4943" width="13.42578125" style="251" bestFit="1" customWidth="1"/>
    <col min="4944" max="4947" width="13.42578125" style="251" customWidth="1"/>
    <col min="4948" max="4948" width="15" style="251" bestFit="1" customWidth="1"/>
    <col min="4949" max="4949" width="14.140625" style="251" customWidth="1"/>
    <col min="4950" max="4950" width="3.42578125" style="251" customWidth="1"/>
    <col min="4951" max="4951" width="19.5703125" style="251" bestFit="1" customWidth="1"/>
    <col min="4952" max="4952" width="10.140625" style="251" bestFit="1" customWidth="1"/>
    <col min="4953" max="4953" width="1.140625" style="251" customWidth="1"/>
    <col min="4954" max="4954" width="9.140625" style="251"/>
    <col min="4955" max="4955" width="10.140625" style="251" bestFit="1" customWidth="1"/>
    <col min="4956" max="4956" width="1.140625" style="251" customWidth="1"/>
    <col min="4957" max="4957" width="10.140625" style="251" bestFit="1" customWidth="1"/>
    <col min="4958" max="4958" width="11.42578125" style="251" bestFit="1" customWidth="1"/>
    <col min="4959" max="5114" width="9.140625" style="251"/>
    <col min="5115" max="5115" width="14" style="251" customWidth="1"/>
    <col min="5116" max="5118" width="15.28515625" style="251" customWidth="1"/>
    <col min="5119" max="5119" width="2.5703125" style="251" customWidth="1"/>
    <col min="5120" max="5137" width="0" style="251" hidden="1" customWidth="1"/>
    <col min="5138" max="5138" width="9.42578125" style="251" customWidth="1"/>
    <col min="5139" max="5197" width="9.140625" style="251"/>
    <col min="5198" max="5198" width="2.42578125" style="251" customWidth="1"/>
    <col min="5199" max="5199" width="13.42578125" style="251" bestFit="1" customWidth="1"/>
    <col min="5200" max="5203" width="13.42578125" style="251" customWidth="1"/>
    <col min="5204" max="5204" width="15" style="251" bestFit="1" customWidth="1"/>
    <col min="5205" max="5205" width="14.140625" style="251" customWidth="1"/>
    <col min="5206" max="5206" width="3.42578125" style="251" customWidth="1"/>
    <col min="5207" max="5207" width="19.5703125" style="251" bestFit="1" customWidth="1"/>
    <col min="5208" max="5208" width="10.140625" style="251" bestFit="1" customWidth="1"/>
    <col min="5209" max="5209" width="1.140625" style="251" customWidth="1"/>
    <col min="5210" max="5210" width="9.140625" style="251"/>
    <col min="5211" max="5211" width="10.140625" style="251" bestFit="1" customWidth="1"/>
    <col min="5212" max="5212" width="1.140625" style="251" customWidth="1"/>
    <col min="5213" max="5213" width="10.140625" style="251" bestFit="1" customWidth="1"/>
    <col min="5214" max="5214" width="11.42578125" style="251" bestFit="1" customWidth="1"/>
    <col min="5215" max="5370" width="9.140625" style="251"/>
    <col min="5371" max="5371" width="14" style="251" customWidth="1"/>
    <col min="5372" max="5374" width="15.28515625" style="251" customWidth="1"/>
    <col min="5375" max="5375" width="2.5703125" style="251" customWidth="1"/>
    <col min="5376" max="5393" width="0" style="251" hidden="1" customWidth="1"/>
    <col min="5394" max="5394" width="9.42578125" style="251" customWidth="1"/>
    <col min="5395" max="5453" width="9.140625" style="251"/>
    <col min="5454" max="5454" width="2.42578125" style="251" customWidth="1"/>
    <col min="5455" max="5455" width="13.42578125" style="251" bestFit="1" customWidth="1"/>
    <col min="5456" max="5459" width="13.42578125" style="251" customWidth="1"/>
    <col min="5460" max="5460" width="15" style="251" bestFit="1" customWidth="1"/>
    <col min="5461" max="5461" width="14.140625" style="251" customWidth="1"/>
    <col min="5462" max="5462" width="3.42578125" style="251" customWidth="1"/>
    <col min="5463" max="5463" width="19.5703125" style="251" bestFit="1" customWidth="1"/>
    <col min="5464" max="5464" width="10.140625" style="251" bestFit="1" customWidth="1"/>
    <col min="5465" max="5465" width="1.140625" style="251" customWidth="1"/>
    <col min="5466" max="5466" width="9.140625" style="251"/>
    <col min="5467" max="5467" width="10.140625" style="251" bestFit="1" customWidth="1"/>
    <col min="5468" max="5468" width="1.140625" style="251" customWidth="1"/>
    <col min="5469" max="5469" width="10.140625" style="251" bestFit="1" customWidth="1"/>
    <col min="5470" max="5470" width="11.42578125" style="251" bestFit="1" customWidth="1"/>
    <col min="5471" max="5626" width="9.140625" style="251"/>
    <col min="5627" max="5627" width="14" style="251" customWidth="1"/>
    <col min="5628" max="5630" width="15.28515625" style="251" customWidth="1"/>
    <col min="5631" max="5631" width="2.5703125" style="251" customWidth="1"/>
    <col min="5632" max="5649" width="0" style="251" hidden="1" customWidth="1"/>
    <col min="5650" max="5650" width="9.42578125" style="251" customWidth="1"/>
    <col min="5651" max="5709" width="9.140625" style="251"/>
    <col min="5710" max="5710" width="2.42578125" style="251" customWidth="1"/>
    <col min="5711" max="5711" width="13.42578125" style="251" bestFit="1" customWidth="1"/>
    <col min="5712" max="5715" width="13.42578125" style="251" customWidth="1"/>
    <col min="5716" max="5716" width="15" style="251" bestFit="1" customWidth="1"/>
    <col min="5717" max="5717" width="14.140625" style="251" customWidth="1"/>
    <col min="5718" max="5718" width="3.42578125" style="251" customWidth="1"/>
    <col min="5719" max="5719" width="19.5703125" style="251" bestFit="1" customWidth="1"/>
    <col min="5720" max="5720" width="10.140625" style="251" bestFit="1" customWidth="1"/>
    <col min="5721" max="5721" width="1.140625" style="251" customWidth="1"/>
    <col min="5722" max="5722" width="9.140625" style="251"/>
    <col min="5723" max="5723" width="10.140625" style="251" bestFit="1" customWidth="1"/>
    <col min="5724" max="5724" width="1.140625" style="251" customWidth="1"/>
    <col min="5725" max="5725" width="10.140625" style="251" bestFit="1" customWidth="1"/>
    <col min="5726" max="5726" width="11.42578125" style="251" bestFit="1" customWidth="1"/>
    <col min="5727" max="5882" width="9.140625" style="251"/>
    <col min="5883" max="5883" width="14" style="251" customWidth="1"/>
    <col min="5884" max="5886" width="15.28515625" style="251" customWidth="1"/>
    <col min="5887" max="5887" width="2.5703125" style="251" customWidth="1"/>
    <col min="5888" max="5905" width="0" style="251" hidden="1" customWidth="1"/>
    <col min="5906" max="5906" width="9.42578125" style="251" customWidth="1"/>
    <col min="5907" max="5965" width="9.140625" style="251"/>
    <col min="5966" max="5966" width="2.42578125" style="251" customWidth="1"/>
    <col min="5967" max="5967" width="13.42578125" style="251" bestFit="1" customWidth="1"/>
    <col min="5968" max="5971" width="13.42578125" style="251" customWidth="1"/>
    <col min="5972" max="5972" width="15" style="251" bestFit="1" customWidth="1"/>
    <col min="5973" max="5973" width="14.140625" style="251" customWidth="1"/>
    <col min="5974" max="5974" width="3.42578125" style="251" customWidth="1"/>
    <col min="5975" max="5975" width="19.5703125" style="251" bestFit="1" customWidth="1"/>
    <col min="5976" max="5976" width="10.140625" style="251" bestFit="1" customWidth="1"/>
    <col min="5977" max="5977" width="1.140625" style="251" customWidth="1"/>
    <col min="5978" max="5978" width="9.140625" style="251"/>
    <col min="5979" max="5979" width="10.140625" style="251" bestFit="1" customWidth="1"/>
    <col min="5980" max="5980" width="1.140625" style="251" customWidth="1"/>
    <col min="5981" max="5981" width="10.140625" style="251" bestFit="1" customWidth="1"/>
    <col min="5982" max="5982" width="11.42578125" style="251" bestFit="1" customWidth="1"/>
    <col min="5983" max="6138" width="9.140625" style="251"/>
    <col min="6139" max="6139" width="14" style="251" customWidth="1"/>
    <col min="6140" max="6142" width="15.28515625" style="251" customWidth="1"/>
    <col min="6143" max="6143" width="2.5703125" style="251" customWidth="1"/>
    <col min="6144" max="6161" width="0" style="251" hidden="1" customWidth="1"/>
    <col min="6162" max="6162" width="9.42578125" style="251" customWidth="1"/>
    <col min="6163" max="6221" width="9.140625" style="251"/>
    <col min="6222" max="6222" width="2.42578125" style="251" customWidth="1"/>
    <col min="6223" max="6223" width="13.42578125" style="251" bestFit="1" customWidth="1"/>
    <col min="6224" max="6227" width="13.42578125" style="251" customWidth="1"/>
    <col min="6228" max="6228" width="15" style="251" bestFit="1" customWidth="1"/>
    <col min="6229" max="6229" width="14.140625" style="251" customWidth="1"/>
    <col min="6230" max="6230" width="3.42578125" style="251" customWidth="1"/>
    <col min="6231" max="6231" width="19.5703125" style="251" bestFit="1" customWidth="1"/>
    <col min="6232" max="6232" width="10.140625" style="251" bestFit="1" customWidth="1"/>
    <col min="6233" max="6233" width="1.140625" style="251" customWidth="1"/>
    <col min="6234" max="6234" width="9.140625" style="251"/>
    <col min="6235" max="6235" width="10.140625" style="251" bestFit="1" customWidth="1"/>
    <col min="6236" max="6236" width="1.140625" style="251" customWidth="1"/>
    <col min="6237" max="6237" width="10.140625" style="251" bestFit="1" customWidth="1"/>
    <col min="6238" max="6238" width="11.42578125" style="251" bestFit="1" customWidth="1"/>
    <col min="6239" max="6394" width="9.140625" style="251"/>
    <col min="6395" max="6395" width="14" style="251" customWidth="1"/>
    <col min="6396" max="6398" width="15.28515625" style="251" customWidth="1"/>
    <col min="6399" max="6399" width="2.5703125" style="251" customWidth="1"/>
    <col min="6400" max="6417" width="0" style="251" hidden="1" customWidth="1"/>
    <col min="6418" max="6418" width="9.42578125" style="251" customWidth="1"/>
    <col min="6419" max="6477" width="9.140625" style="251"/>
    <col min="6478" max="6478" width="2.42578125" style="251" customWidth="1"/>
    <col min="6479" max="6479" width="13.42578125" style="251" bestFit="1" customWidth="1"/>
    <col min="6480" max="6483" width="13.42578125" style="251" customWidth="1"/>
    <col min="6484" max="6484" width="15" style="251" bestFit="1" customWidth="1"/>
    <col min="6485" max="6485" width="14.140625" style="251" customWidth="1"/>
    <col min="6486" max="6486" width="3.42578125" style="251" customWidth="1"/>
    <col min="6487" max="6487" width="19.5703125" style="251" bestFit="1" customWidth="1"/>
    <col min="6488" max="6488" width="10.140625" style="251" bestFit="1" customWidth="1"/>
    <col min="6489" max="6489" width="1.140625" style="251" customWidth="1"/>
    <col min="6490" max="6490" width="9.140625" style="251"/>
    <col min="6491" max="6491" width="10.140625" style="251" bestFit="1" customWidth="1"/>
    <col min="6492" max="6492" width="1.140625" style="251" customWidth="1"/>
    <col min="6493" max="6493" width="10.140625" style="251" bestFit="1" customWidth="1"/>
    <col min="6494" max="6494" width="11.42578125" style="251" bestFit="1" customWidth="1"/>
    <col min="6495" max="6650" width="9.140625" style="251"/>
    <col min="6651" max="6651" width="14" style="251" customWidth="1"/>
    <col min="6652" max="6654" width="15.28515625" style="251" customWidth="1"/>
    <col min="6655" max="6655" width="2.5703125" style="251" customWidth="1"/>
    <col min="6656" max="6673" width="0" style="251" hidden="1" customWidth="1"/>
    <col min="6674" max="6674" width="9.42578125" style="251" customWidth="1"/>
    <col min="6675" max="6733" width="9.140625" style="251"/>
    <col min="6734" max="6734" width="2.42578125" style="251" customWidth="1"/>
    <col min="6735" max="6735" width="13.42578125" style="251" bestFit="1" customWidth="1"/>
    <col min="6736" max="6739" width="13.42578125" style="251" customWidth="1"/>
    <col min="6740" max="6740" width="15" style="251" bestFit="1" customWidth="1"/>
    <col min="6741" max="6741" width="14.140625" style="251" customWidth="1"/>
    <col min="6742" max="6742" width="3.42578125" style="251" customWidth="1"/>
    <col min="6743" max="6743" width="19.5703125" style="251" bestFit="1" customWidth="1"/>
    <col min="6744" max="6744" width="10.140625" style="251" bestFit="1" customWidth="1"/>
    <col min="6745" max="6745" width="1.140625" style="251" customWidth="1"/>
    <col min="6746" max="6746" width="9.140625" style="251"/>
    <col min="6747" max="6747" width="10.140625" style="251" bestFit="1" customWidth="1"/>
    <col min="6748" max="6748" width="1.140625" style="251" customWidth="1"/>
    <col min="6749" max="6749" width="10.140625" style="251" bestFit="1" customWidth="1"/>
    <col min="6750" max="6750" width="11.42578125" style="251" bestFit="1" customWidth="1"/>
    <col min="6751" max="6906" width="9.140625" style="251"/>
    <col min="6907" max="6907" width="14" style="251" customWidth="1"/>
    <col min="6908" max="6910" width="15.28515625" style="251" customWidth="1"/>
    <col min="6911" max="6911" width="2.5703125" style="251" customWidth="1"/>
    <col min="6912" max="6929" width="0" style="251" hidden="1" customWidth="1"/>
    <col min="6930" max="6930" width="9.42578125" style="251" customWidth="1"/>
    <col min="6931" max="6989" width="9.140625" style="251"/>
    <col min="6990" max="6990" width="2.42578125" style="251" customWidth="1"/>
    <col min="6991" max="6991" width="13.42578125" style="251" bestFit="1" customWidth="1"/>
    <col min="6992" max="6995" width="13.42578125" style="251" customWidth="1"/>
    <col min="6996" max="6996" width="15" style="251" bestFit="1" customWidth="1"/>
    <col min="6997" max="6997" width="14.140625" style="251" customWidth="1"/>
    <col min="6998" max="6998" width="3.42578125" style="251" customWidth="1"/>
    <col min="6999" max="6999" width="19.5703125" style="251" bestFit="1" customWidth="1"/>
    <col min="7000" max="7000" width="10.140625" style="251" bestFit="1" customWidth="1"/>
    <col min="7001" max="7001" width="1.140625" style="251" customWidth="1"/>
    <col min="7002" max="7002" width="9.140625" style="251"/>
    <col min="7003" max="7003" width="10.140625" style="251" bestFit="1" customWidth="1"/>
    <col min="7004" max="7004" width="1.140625" style="251" customWidth="1"/>
    <col min="7005" max="7005" width="10.140625" style="251" bestFit="1" customWidth="1"/>
    <col min="7006" max="7006" width="11.42578125" style="251" bestFit="1" customWidth="1"/>
    <col min="7007" max="7162" width="9.140625" style="251"/>
    <col min="7163" max="7163" width="14" style="251" customWidth="1"/>
    <col min="7164" max="7166" width="15.28515625" style="251" customWidth="1"/>
    <col min="7167" max="7167" width="2.5703125" style="251" customWidth="1"/>
    <col min="7168" max="7185" width="0" style="251" hidden="1" customWidth="1"/>
    <col min="7186" max="7186" width="9.42578125" style="251" customWidth="1"/>
    <col min="7187" max="7245" width="9.140625" style="251"/>
    <col min="7246" max="7246" width="2.42578125" style="251" customWidth="1"/>
    <col min="7247" max="7247" width="13.42578125" style="251" bestFit="1" customWidth="1"/>
    <col min="7248" max="7251" width="13.42578125" style="251" customWidth="1"/>
    <col min="7252" max="7252" width="15" style="251" bestFit="1" customWidth="1"/>
    <col min="7253" max="7253" width="14.140625" style="251" customWidth="1"/>
    <col min="7254" max="7254" width="3.42578125" style="251" customWidth="1"/>
    <col min="7255" max="7255" width="19.5703125" style="251" bestFit="1" customWidth="1"/>
    <col min="7256" max="7256" width="10.140625" style="251" bestFit="1" customWidth="1"/>
    <col min="7257" max="7257" width="1.140625" style="251" customWidth="1"/>
    <col min="7258" max="7258" width="9.140625" style="251"/>
    <col min="7259" max="7259" width="10.140625" style="251" bestFit="1" customWidth="1"/>
    <col min="7260" max="7260" width="1.140625" style="251" customWidth="1"/>
    <col min="7261" max="7261" width="10.140625" style="251" bestFit="1" customWidth="1"/>
    <col min="7262" max="7262" width="11.42578125" style="251" bestFit="1" customWidth="1"/>
    <col min="7263" max="7418" width="9.140625" style="251"/>
    <col min="7419" max="7419" width="14" style="251" customWidth="1"/>
    <col min="7420" max="7422" width="15.28515625" style="251" customWidth="1"/>
    <col min="7423" max="7423" width="2.5703125" style="251" customWidth="1"/>
    <col min="7424" max="7441" width="0" style="251" hidden="1" customWidth="1"/>
    <col min="7442" max="7442" width="9.42578125" style="251" customWidth="1"/>
    <col min="7443" max="7501" width="9.140625" style="251"/>
    <col min="7502" max="7502" width="2.42578125" style="251" customWidth="1"/>
    <col min="7503" max="7503" width="13.42578125" style="251" bestFit="1" customWidth="1"/>
    <col min="7504" max="7507" width="13.42578125" style="251" customWidth="1"/>
    <col min="7508" max="7508" width="15" style="251" bestFit="1" customWidth="1"/>
    <col min="7509" max="7509" width="14.140625" style="251" customWidth="1"/>
    <col min="7510" max="7510" width="3.42578125" style="251" customWidth="1"/>
    <col min="7511" max="7511" width="19.5703125" style="251" bestFit="1" customWidth="1"/>
    <col min="7512" max="7512" width="10.140625" style="251" bestFit="1" customWidth="1"/>
    <col min="7513" max="7513" width="1.140625" style="251" customWidth="1"/>
    <col min="7514" max="7514" width="9.140625" style="251"/>
    <col min="7515" max="7515" width="10.140625" style="251" bestFit="1" customWidth="1"/>
    <col min="7516" max="7516" width="1.140625" style="251" customWidth="1"/>
    <col min="7517" max="7517" width="10.140625" style="251" bestFit="1" customWidth="1"/>
    <col min="7518" max="7518" width="11.42578125" style="251" bestFit="1" customWidth="1"/>
    <col min="7519" max="7674" width="9.140625" style="251"/>
    <col min="7675" max="7675" width="14" style="251" customWidth="1"/>
    <col min="7676" max="7678" width="15.28515625" style="251" customWidth="1"/>
    <col min="7679" max="7679" width="2.5703125" style="251" customWidth="1"/>
    <col min="7680" max="7697" width="0" style="251" hidden="1" customWidth="1"/>
    <col min="7698" max="7698" width="9.42578125" style="251" customWidth="1"/>
    <col min="7699" max="7757" width="9.140625" style="251"/>
    <col min="7758" max="7758" width="2.42578125" style="251" customWidth="1"/>
    <col min="7759" max="7759" width="13.42578125" style="251" bestFit="1" customWidth="1"/>
    <col min="7760" max="7763" width="13.42578125" style="251" customWidth="1"/>
    <col min="7764" max="7764" width="15" style="251" bestFit="1" customWidth="1"/>
    <col min="7765" max="7765" width="14.140625" style="251" customWidth="1"/>
    <col min="7766" max="7766" width="3.42578125" style="251" customWidth="1"/>
    <col min="7767" max="7767" width="19.5703125" style="251" bestFit="1" customWidth="1"/>
    <col min="7768" max="7768" width="10.140625" style="251" bestFit="1" customWidth="1"/>
    <col min="7769" max="7769" width="1.140625" style="251" customWidth="1"/>
    <col min="7770" max="7770" width="9.140625" style="251"/>
    <col min="7771" max="7771" width="10.140625" style="251" bestFit="1" customWidth="1"/>
    <col min="7772" max="7772" width="1.140625" style="251" customWidth="1"/>
    <col min="7773" max="7773" width="10.140625" style="251" bestFit="1" customWidth="1"/>
    <col min="7774" max="7774" width="11.42578125" style="251" bestFit="1" customWidth="1"/>
    <col min="7775" max="7930" width="9.140625" style="251"/>
    <col min="7931" max="7931" width="14" style="251" customWidth="1"/>
    <col min="7932" max="7934" width="15.28515625" style="251" customWidth="1"/>
    <col min="7935" max="7935" width="2.5703125" style="251" customWidth="1"/>
    <col min="7936" max="7953" width="0" style="251" hidden="1" customWidth="1"/>
    <col min="7954" max="7954" width="9.42578125" style="251" customWidth="1"/>
    <col min="7955" max="8013" width="9.140625" style="251"/>
    <col min="8014" max="8014" width="2.42578125" style="251" customWidth="1"/>
    <col min="8015" max="8015" width="13.42578125" style="251" bestFit="1" customWidth="1"/>
    <col min="8016" max="8019" width="13.42578125" style="251" customWidth="1"/>
    <col min="8020" max="8020" width="15" style="251" bestFit="1" customWidth="1"/>
    <col min="8021" max="8021" width="14.140625" style="251" customWidth="1"/>
    <col min="8022" max="8022" width="3.42578125" style="251" customWidth="1"/>
    <col min="8023" max="8023" width="19.5703125" style="251" bestFit="1" customWidth="1"/>
    <col min="8024" max="8024" width="10.140625" style="251" bestFit="1" customWidth="1"/>
    <col min="8025" max="8025" width="1.140625" style="251" customWidth="1"/>
    <col min="8026" max="8026" width="9.140625" style="251"/>
    <col min="8027" max="8027" width="10.140625" style="251" bestFit="1" customWidth="1"/>
    <col min="8028" max="8028" width="1.140625" style="251" customWidth="1"/>
    <col min="8029" max="8029" width="10.140625" style="251" bestFit="1" customWidth="1"/>
    <col min="8030" max="8030" width="11.42578125" style="251" bestFit="1" customWidth="1"/>
    <col min="8031" max="8186" width="9.140625" style="251"/>
    <col min="8187" max="8187" width="14" style="251" customWidth="1"/>
    <col min="8188" max="8190" width="15.28515625" style="251" customWidth="1"/>
    <col min="8191" max="8191" width="2.5703125" style="251" customWidth="1"/>
    <col min="8192" max="8209" width="0" style="251" hidden="1" customWidth="1"/>
    <col min="8210" max="8210" width="9.42578125" style="251" customWidth="1"/>
    <col min="8211" max="8269" width="9.140625" style="251"/>
    <col min="8270" max="8270" width="2.42578125" style="251" customWidth="1"/>
    <col min="8271" max="8271" width="13.42578125" style="251" bestFit="1" customWidth="1"/>
    <col min="8272" max="8275" width="13.42578125" style="251" customWidth="1"/>
    <col min="8276" max="8276" width="15" style="251" bestFit="1" customWidth="1"/>
    <col min="8277" max="8277" width="14.140625" style="251" customWidth="1"/>
    <col min="8278" max="8278" width="3.42578125" style="251" customWidth="1"/>
    <col min="8279" max="8279" width="19.5703125" style="251" bestFit="1" customWidth="1"/>
    <col min="8280" max="8280" width="10.140625" style="251" bestFit="1" customWidth="1"/>
    <col min="8281" max="8281" width="1.140625" style="251" customWidth="1"/>
    <col min="8282" max="8282" width="9.140625" style="251"/>
    <col min="8283" max="8283" width="10.140625" style="251" bestFit="1" customWidth="1"/>
    <col min="8284" max="8284" width="1.140625" style="251" customWidth="1"/>
    <col min="8285" max="8285" width="10.140625" style="251" bestFit="1" customWidth="1"/>
    <col min="8286" max="8286" width="11.42578125" style="251" bestFit="1" customWidth="1"/>
    <col min="8287" max="8442" width="9.140625" style="251"/>
    <col min="8443" max="8443" width="14" style="251" customWidth="1"/>
    <col min="8444" max="8446" width="15.28515625" style="251" customWidth="1"/>
    <col min="8447" max="8447" width="2.5703125" style="251" customWidth="1"/>
    <col min="8448" max="8465" width="0" style="251" hidden="1" customWidth="1"/>
    <col min="8466" max="8466" width="9.42578125" style="251" customWidth="1"/>
    <col min="8467" max="8525" width="9.140625" style="251"/>
    <col min="8526" max="8526" width="2.42578125" style="251" customWidth="1"/>
    <col min="8527" max="8527" width="13.42578125" style="251" bestFit="1" customWidth="1"/>
    <col min="8528" max="8531" width="13.42578125" style="251" customWidth="1"/>
    <col min="8532" max="8532" width="15" style="251" bestFit="1" customWidth="1"/>
    <col min="8533" max="8533" width="14.140625" style="251" customWidth="1"/>
    <col min="8534" max="8534" width="3.42578125" style="251" customWidth="1"/>
    <col min="8535" max="8535" width="19.5703125" style="251" bestFit="1" customWidth="1"/>
    <col min="8536" max="8536" width="10.140625" style="251" bestFit="1" customWidth="1"/>
    <col min="8537" max="8537" width="1.140625" style="251" customWidth="1"/>
    <col min="8538" max="8538" width="9.140625" style="251"/>
    <col min="8539" max="8539" width="10.140625" style="251" bestFit="1" customWidth="1"/>
    <col min="8540" max="8540" width="1.140625" style="251" customWidth="1"/>
    <col min="8541" max="8541" width="10.140625" style="251" bestFit="1" customWidth="1"/>
    <col min="8542" max="8542" width="11.42578125" style="251" bestFit="1" customWidth="1"/>
    <col min="8543" max="8698" width="9.140625" style="251"/>
    <col min="8699" max="8699" width="14" style="251" customWidth="1"/>
    <col min="8700" max="8702" width="15.28515625" style="251" customWidth="1"/>
    <col min="8703" max="8703" width="2.5703125" style="251" customWidth="1"/>
    <col min="8704" max="8721" width="0" style="251" hidden="1" customWidth="1"/>
    <col min="8722" max="8722" width="9.42578125" style="251" customWidth="1"/>
    <col min="8723" max="8781" width="9.140625" style="251"/>
    <col min="8782" max="8782" width="2.42578125" style="251" customWidth="1"/>
    <col min="8783" max="8783" width="13.42578125" style="251" bestFit="1" customWidth="1"/>
    <col min="8784" max="8787" width="13.42578125" style="251" customWidth="1"/>
    <col min="8788" max="8788" width="15" style="251" bestFit="1" customWidth="1"/>
    <col min="8789" max="8789" width="14.140625" style="251" customWidth="1"/>
    <col min="8790" max="8790" width="3.42578125" style="251" customWidth="1"/>
    <col min="8791" max="8791" width="19.5703125" style="251" bestFit="1" customWidth="1"/>
    <col min="8792" max="8792" width="10.140625" style="251" bestFit="1" customWidth="1"/>
    <col min="8793" max="8793" width="1.140625" style="251" customWidth="1"/>
    <col min="8794" max="8794" width="9.140625" style="251"/>
    <col min="8795" max="8795" width="10.140625" style="251" bestFit="1" customWidth="1"/>
    <col min="8796" max="8796" width="1.140625" style="251" customWidth="1"/>
    <col min="8797" max="8797" width="10.140625" style="251" bestFit="1" customWidth="1"/>
    <col min="8798" max="8798" width="11.42578125" style="251" bestFit="1" customWidth="1"/>
    <col min="8799" max="8954" width="9.140625" style="251"/>
    <col min="8955" max="8955" width="14" style="251" customWidth="1"/>
    <col min="8956" max="8958" width="15.28515625" style="251" customWidth="1"/>
    <col min="8959" max="8959" width="2.5703125" style="251" customWidth="1"/>
    <col min="8960" max="8977" width="0" style="251" hidden="1" customWidth="1"/>
    <col min="8978" max="8978" width="9.42578125" style="251" customWidth="1"/>
    <col min="8979" max="9037" width="9.140625" style="251"/>
    <col min="9038" max="9038" width="2.42578125" style="251" customWidth="1"/>
    <col min="9039" max="9039" width="13.42578125" style="251" bestFit="1" customWidth="1"/>
    <col min="9040" max="9043" width="13.42578125" style="251" customWidth="1"/>
    <col min="9044" max="9044" width="15" style="251" bestFit="1" customWidth="1"/>
    <col min="9045" max="9045" width="14.140625" style="251" customWidth="1"/>
    <col min="9046" max="9046" width="3.42578125" style="251" customWidth="1"/>
    <col min="9047" max="9047" width="19.5703125" style="251" bestFit="1" customWidth="1"/>
    <col min="9048" max="9048" width="10.140625" style="251" bestFit="1" customWidth="1"/>
    <col min="9049" max="9049" width="1.140625" style="251" customWidth="1"/>
    <col min="9050" max="9050" width="9.140625" style="251"/>
    <col min="9051" max="9051" width="10.140625" style="251" bestFit="1" customWidth="1"/>
    <col min="9052" max="9052" width="1.140625" style="251" customWidth="1"/>
    <col min="9053" max="9053" width="10.140625" style="251" bestFit="1" customWidth="1"/>
    <col min="9054" max="9054" width="11.42578125" style="251" bestFit="1" customWidth="1"/>
    <col min="9055" max="9210" width="9.140625" style="251"/>
    <col min="9211" max="9211" width="14" style="251" customWidth="1"/>
    <col min="9212" max="9214" width="15.28515625" style="251" customWidth="1"/>
    <col min="9215" max="9215" width="2.5703125" style="251" customWidth="1"/>
    <col min="9216" max="9233" width="0" style="251" hidden="1" customWidth="1"/>
    <col min="9234" max="9234" width="9.42578125" style="251" customWidth="1"/>
    <col min="9235" max="9293" width="9.140625" style="251"/>
    <col min="9294" max="9294" width="2.42578125" style="251" customWidth="1"/>
    <col min="9295" max="9295" width="13.42578125" style="251" bestFit="1" customWidth="1"/>
    <col min="9296" max="9299" width="13.42578125" style="251" customWidth="1"/>
    <col min="9300" max="9300" width="15" style="251" bestFit="1" customWidth="1"/>
    <col min="9301" max="9301" width="14.140625" style="251" customWidth="1"/>
    <col min="9302" max="9302" width="3.42578125" style="251" customWidth="1"/>
    <col min="9303" max="9303" width="19.5703125" style="251" bestFit="1" customWidth="1"/>
    <col min="9304" max="9304" width="10.140625" style="251" bestFit="1" customWidth="1"/>
    <col min="9305" max="9305" width="1.140625" style="251" customWidth="1"/>
    <col min="9306" max="9306" width="9.140625" style="251"/>
    <col min="9307" max="9307" width="10.140625" style="251" bestFit="1" customWidth="1"/>
    <col min="9308" max="9308" width="1.140625" style="251" customWidth="1"/>
    <col min="9309" max="9309" width="10.140625" style="251" bestFit="1" customWidth="1"/>
    <col min="9310" max="9310" width="11.42578125" style="251" bestFit="1" customWidth="1"/>
    <col min="9311" max="9466" width="9.140625" style="251"/>
    <col min="9467" max="9467" width="14" style="251" customWidth="1"/>
    <col min="9468" max="9470" width="15.28515625" style="251" customWidth="1"/>
    <col min="9471" max="9471" width="2.5703125" style="251" customWidth="1"/>
    <col min="9472" max="9489" width="0" style="251" hidden="1" customWidth="1"/>
    <col min="9490" max="9490" width="9.42578125" style="251" customWidth="1"/>
    <col min="9491" max="9549" width="9.140625" style="251"/>
    <col min="9550" max="9550" width="2.42578125" style="251" customWidth="1"/>
    <col min="9551" max="9551" width="13.42578125" style="251" bestFit="1" customWidth="1"/>
    <col min="9552" max="9555" width="13.42578125" style="251" customWidth="1"/>
    <col min="9556" max="9556" width="15" style="251" bestFit="1" customWidth="1"/>
    <col min="9557" max="9557" width="14.140625" style="251" customWidth="1"/>
    <col min="9558" max="9558" width="3.42578125" style="251" customWidth="1"/>
    <col min="9559" max="9559" width="19.5703125" style="251" bestFit="1" customWidth="1"/>
    <col min="9560" max="9560" width="10.140625" style="251" bestFit="1" customWidth="1"/>
    <col min="9561" max="9561" width="1.140625" style="251" customWidth="1"/>
    <col min="9562" max="9562" width="9.140625" style="251"/>
    <col min="9563" max="9563" width="10.140625" style="251" bestFit="1" customWidth="1"/>
    <col min="9564" max="9564" width="1.140625" style="251" customWidth="1"/>
    <col min="9565" max="9565" width="10.140625" style="251" bestFit="1" customWidth="1"/>
    <col min="9566" max="9566" width="11.42578125" style="251" bestFit="1" customWidth="1"/>
    <col min="9567" max="9722" width="9.140625" style="251"/>
    <col min="9723" max="9723" width="14" style="251" customWidth="1"/>
    <col min="9724" max="9726" width="15.28515625" style="251" customWidth="1"/>
    <col min="9727" max="9727" width="2.5703125" style="251" customWidth="1"/>
    <col min="9728" max="9745" width="0" style="251" hidden="1" customWidth="1"/>
    <col min="9746" max="9746" width="9.42578125" style="251" customWidth="1"/>
    <col min="9747" max="9805" width="9.140625" style="251"/>
    <col min="9806" max="9806" width="2.42578125" style="251" customWidth="1"/>
    <col min="9807" max="9807" width="13.42578125" style="251" bestFit="1" customWidth="1"/>
    <col min="9808" max="9811" width="13.42578125" style="251" customWidth="1"/>
    <col min="9812" max="9812" width="15" style="251" bestFit="1" customWidth="1"/>
    <col min="9813" max="9813" width="14.140625" style="251" customWidth="1"/>
    <col min="9814" max="9814" width="3.42578125" style="251" customWidth="1"/>
    <col min="9815" max="9815" width="19.5703125" style="251" bestFit="1" customWidth="1"/>
    <col min="9816" max="9816" width="10.140625" style="251" bestFit="1" customWidth="1"/>
    <col min="9817" max="9817" width="1.140625" style="251" customWidth="1"/>
    <col min="9818" max="9818" width="9.140625" style="251"/>
    <col min="9819" max="9819" width="10.140625" style="251" bestFit="1" customWidth="1"/>
    <col min="9820" max="9820" width="1.140625" style="251" customWidth="1"/>
    <col min="9821" max="9821" width="10.140625" style="251" bestFit="1" customWidth="1"/>
    <col min="9822" max="9822" width="11.42578125" style="251" bestFit="1" customWidth="1"/>
    <col min="9823" max="9978" width="9.140625" style="251"/>
    <col min="9979" max="9979" width="14" style="251" customWidth="1"/>
    <col min="9980" max="9982" width="15.28515625" style="251" customWidth="1"/>
    <col min="9983" max="9983" width="2.5703125" style="251" customWidth="1"/>
    <col min="9984" max="10001" width="0" style="251" hidden="1" customWidth="1"/>
    <col min="10002" max="10002" width="9.42578125" style="251" customWidth="1"/>
    <col min="10003" max="10061" width="9.140625" style="251"/>
    <col min="10062" max="10062" width="2.42578125" style="251" customWidth="1"/>
    <col min="10063" max="10063" width="13.42578125" style="251" bestFit="1" customWidth="1"/>
    <col min="10064" max="10067" width="13.42578125" style="251" customWidth="1"/>
    <col min="10068" max="10068" width="15" style="251" bestFit="1" customWidth="1"/>
    <col min="10069" max="10069" width="14.140625" style="251" customWidth="1"/>
    <col min="10070" max="10070" width="3.42578125" style="251" customWidth="1"/>
    <col min="10071" max="10071" width="19.5703125" style="251" bestFit="1" customWidth="1"/>
    <col min="10072" max="10072" width="10.140625" style="251" bestFit="1" customWidth="1"/>
    <col min="10073" max="10073" width="1.140625" style="251" customWidth="1"/>
    <col min="10074" max="10074" width="9.140625" style="251"/>
    <col min="10075" max="10075" width="10.140625" style="251" bestFit="1" customWidth="1"/>
    <col min="10076" max="10076" width="1.140625" style="251" customWidth="1"/>
    <col min="10077" max="10077" width="10.140625" style="251" bestFit="1" customWidth="1"/>
    <col min="10078" max="10078" width="11.42578125" style="251" bestFit="1" customWidth="1"/>
    <col min="10079" max="10234" width="9.140625" style="251"/>
    <col min="10235" max="10235" width="14" style="251" customWidth="1"/>
    <col min="10236" max="10238" width="15.28515625" style="251" customWidth="1"/>
    <col min="10239" max="10239" width="2.5703125" style="251" customWidth="1"/>
    <col min="10240" max="10257" width="0" style="251" hidden="1" customWidth="1"/>
    <col min="10258" max="10258" width="9.42578125" style="251" customWidth="1"/>
    <col min="10259" max="10317" width="9.140625" style="251"/>
    <col min="10318" max="10318" width="2.42578125" style="251" customWidth="1"/>
    <col min="10319" max="10319" width="13.42578125" style="251" bestFit="1" customWidth="1"/>
    <col min="10320" max="10323" width="13.42578125" style="251" customWidth="1"/>
    <col min="10324" max="10324" width="15" style="251" bestFit="1" customWidth="1"/>
    <col min="10325" max="10325" width="14.140625" style="251" customWidth="1"/>
    <col min="10326" max="10326" width="3.42578125" style="251" customWidth="1"/>
    <col min="10327" max="10327" width="19.5703125" style="251" bestFit="1" customWidth="1"/>
    <col min="10328" max="10328" width="10.140625" style="251" bestFit="1" customWidth="1"/>
    <col min="10329" max="10329" width="1.140625" style="251" customWidth="1"/>
    <col min="10330" max="10330" width="9.140625" style="251"/>
    <col min="10331" max="10331" width="10.140625" style="251" bestFit="1" customWidth="1"/>
    <col min="10332" max="10332" width="1.140625" style="251" customWidth="1"/>
    <col min="10333" max="10333" width="10.140625" style="251" bestFit="1" customWidth="1"/>
    <col min="10334" max="10334" width="11.42578125" style="251" bestFit="1" customWidth="1"/>
    <col min="10335" max="10490" width="9.140625" style="251"/>
    <col min="10491" max="10491" width="14" style="251" customWidth="1"/>
    <col min="10492" max="10494" width="15.28515625" style="251" customWidth="1"/>
    <col min="10495" max="10495" width="2.5703125" style="251" customWidth="1"/>
    <col min="10496" max="10513" width="0" style="251" hidden="1" customWidth="1"/>
    <col min="10514" max="10514" width="9.42578125" style="251" customWidth="1"/>
    <col min="10515" max="10573" width="9.140625" style="251"/>
    <col min="10574" max="10574" width="2.42578125" style="251" customWidth="1"/>
    <col min="10575" max="10575" width="13.42578125" style="251" bestFit="1" customWidth="1"/>
    <col min="10576" max="10579" width="13.42578125" style="251" customWidth="1"/>
    <col min="10580" max="10580" width="15" style="251" bestFit="1" customWidth="1"/>
    <col min="10581" max="10581" width="14.140625" style="251" customWidth="1"/>
    <col min="10582" max="10582" width="3.42578125" style="251" customWidth="1"/>
    <col min="10583" max="10583" width="19.5703125" style="251" bestFit="1" customWidth="1"/>
    <col min="10584" max="10584" width="10.140625" style="251" bestFit="1" customWidth="1"/>
    <col min="10585" max="10585" width="1.140625" style="251" customWidth="1"/>
    <col min="10586" max="10586" width="9.140625" style="251"/>
    <col min="10587" max="10587" width="10.140625" style="251" bestFit="1" customWidth="1"/>
    <col min="10588" max="10588" width="1.140625" style="251" customWidth="1"/>
    <col min="10589" max="10589" width="10.140625" style="251" bestFit="1" customWidth="1"/>
    <col min="10590" max="10590" width="11.42578125" style="251" bestFit="1" customWidth="1"/>
    <col min="10591" max="10746" width="9.140625" style="251"/>
    <col min="10747" max="10747" width="14" style="251" customWidth="1"/>
    <col min="10748" max="10750" width="15.28515625" style="251" customWidth="1"/>
    <col min="10751" max="10751" width="2.5703125" style="251" customWidth="1"/>
    <col min="10752" max="10769" width="0" style="251" hidden="1" customWidth="1"/>
    <col min="10770" max="10770" width="9.42578125" style="251" customWidth="1"/>
    <col min="10771" max="10829" width="9.140625" style="251"/>
    <col min="10830" max="10830" width="2.42578125" style="251" customWidth="1"/>
    <col min="10831" max="10831" width="13.42578125" style="251" bestFit="1" customWidth="1"/>
    <col min="10832" max="10835" width="13.42578125" style="251" customWidth="1"/>
    <col min="10836" max="10836" width="15" style="251" bestFit="1" customWidth="1"/>
    <col min="10837" max="10837" width="14.140625" style="251" customWidth="1"/>
    <col min="10838" max="10838" width="3.42578125" style="251" customWidth="1"/>
    <col min="10839" max="10839" width="19.5703125" style="251" bestFit="1" customWidth="1"/>
    <col min="10840" max="10840" width="10.140625" style="251" bestFit="1" customWidth="1"/>
    <col min="10841" max="10841" width="1.140625" style="251" customWidth="1"/>
    <col min="10842" max="10842" width="9.140625" style="251"/>
    <col min="10843" max="10843" width="10.140625" style="251" bestFit="1" customWidth="1"/>
    <col min="10844" max="10844" width="1.140625" style="251" customWidth="1"/>
    <col min="10845" max="10845" width="10.140625" style="251" bestFit="1" customWidth="1"/>
    <col min="10846" max="10846" width="11.42578125" style="251" bestFit="1" customWidth="1"/>
    <col min="10847" max="11002" width="9.140625" style="251"/>
    <col min="11003" max="11003" width="14" style="251" customWidth="1"/>
    <col min="11004" max="11006" width="15.28515625" style="251" customWidth="1"/>
    <col min="11007" max="11007" width="2.5703125" style="251" customWidth="1"/>
    <col min="11008" max="11025" width="0" style="251" hidden="1" customWidth="1"/>
    <col min="11026" max="11026" width="9.42578125" style="251" customWidth="1"/>
    <col min="11027" max="11085" width="9.140625" style="251"/>
    <col min="11086" max="11086" width="2.42578125" style="251" customWidth="1"/>
    <col min="11087" max="11087" width="13.42578125" style="251" bestFit="1" customWidth="1"/>
    <col min="11088" max="11091" width="13.42578125" style="251" customWidth="1"/>
    <col min="11092" max="11092" width="15" style="251" bestFit="1" customWidth="1"/>
    <col min="11093" max="11093" width="14.140625" style="251" customWidth="1"/>
    <col min="11094" max="11094" width="3.42578125" style="251" customWidth="1"/>
    <col min="11095" max="11095" width="19.5703125" style="251" bestFit="1" customWidth="1"/>
    <col min="11096" max="11096" width="10.140625" style="251" bestFit="1" customWidth="1"/>
    <col min="11097" max="11097" width="1.140625" style="251" customWidth="1"/>
    <col min="11098" max="11098" width="9.140625" style="251"/>
    <col min="11099" max="11099" width="10.140625" style="251" bestFit="1" customWidth="1"/>
    <col min="11100" max="11100" width="1.140625" style="251" customWidth="1"/>
    <col min="11101" max="11101" width="10.140625" style="251" bestFit="1" customWidth="1"/>
    <col min="11102" max="11102" width="11.42578125" style="251" bestFit="1" customWidth="1"/>
    <col min="11103" max="11258" width="9.140625" style="251"/>
    <col min="11259" max="11259" width="14" style="251" customWidth="1"/>
    <col min="11260" max="11262" width="15.28515625" style="251" customWidth="1"/>
    <col min="11263" max="11263" width="2.5703125" style="251" customWidth="1"/>
    <col min="11264" max="11281" width="0" style="251" hidden="1" customWidth="1"/>
    <col min="11282" max="11282" width="9.42578125" style="251" customWidth="1"/>
    <col min="11283" max="11341" width="9.140625" style="251"/>
    <col min="11342" max="11342" width="2.42578125" style="251" customWidth="1"/>
    <col min="11343" max="11343" width="13.42578125" style="251" bestFit="1" customWidth="1"/>
    <col min="11344" max="11347" width="13.42578125" style="251" customWidth="1"/>
    <col min="11348" max="11348" width="15" style="251" bestFit="1" customWidth="1"/>
    <col min="11349" max="11349" width="14.140625" style="251" customWidth="1"/>
    <col min="11350" max="11350" width="3.42578125" style="251" customWidth="1"/>
    <col min="11351" max="11351" width="19.5703125" style="251" bestFit="1" customWidth="1"/>
    <col min="11352" max="11352" width="10.140625" style="251" bestFit="1" customWidth="1"/>
    <col min="11353" max="11353" width="1.140625" style="251" customWidth="1"/>
    <col min="11354" max="11354" width="9.140625" style="251"/>
    <col min="11355" max="11355" width="10.140625" style="251" bestFit="1" customWidth="1"/>
    <col min="11356" max="11356" width="1.140625" style="251" customWidth="1"/>
    <col min="11357" max="11357" width="10.140625" style="251" bestFit="1" customWidth="1"/>
    <col min="11358" max="11358" width="11.42578125" style="251" bestFit="1" customWidth="1"/>
    <col min="11359" max="11514" width="9.140625" style="251"/>
    <col min="11515" max="11515" width="14" style="251" customWidth="1"/>
    <col min="11516" max="11518" width="15.28515625" style="251" customWidth="1"/>
    <col min="11519" max="11519" width="2.5703125" style="251" customWidth="1"/>
    <col min="11520" max="11537" width="0" style="251" hidden="1" customWidth="1"/>
    <col min="11538" max="11538" width="9.42578125" style="251" customWidth="1"/>
    <col min="11539" max="11597" width="9.140625" style="251"/>
    <col min="11598" max="11598" width="2.42578125" style="251" customWidth="1"/>
    <col min="11599" max="11599" width="13.42578125" style="251" bestFit="1" customWidth="1"/>
    <col min="11600" max="11603" width="13.42578125" style="251" customWidth="1"/>
    <col min="11604" max="11604" width="15" style="251" bestFit="1" customWidth="1"/>
    <col min="11605" max="11605" width="14.140625" style="251" customWidth="1"/>
    <col min="11606" max="11606" width="3.42578125" style="251" customWidth="1"/>
    <col min="11607" max="11607" width="19.5703125" style="251" bestFit="1" customWidth="1"/>
    <col min="11608" max="11608" width="10.140625" style="251" bestFit="1" customWidth="1"/>
    <col min="11609" max="11609" width="1.140625" style="251" customWidth="1"/>
    <col min="11610" max="11610" width="9.140625" style="251"/>
    <col min="11611" max="11611" width="10.140625" style="251" bestFit="1" customWidth="1"/>
    <col min="11612" max="11612" width="1.140625" style="251" customWidth="1"/>
    <col min="11613" max="11613" width="10.140625" style="251" bestFit="1" customWidth="1"/>
    <col min="11614" max="11614" width="11.42578125" style="251" bestFit="1" customWidth="1"/>
    <col min="11615" max="11770" width="9.140625" style="251"/>
    <col min="11771" max="11771" width="14" style="251" customWidth="1"/>
    <col min="11772" max="11774" width="15.28515625" style="251" customWidth="1"/>
    <col min="11775" max="11775" width="2.5703125" style="251" customWidth="1"/>
    <col min="11776" max="11793" width="0" style="251" hidden="1" customWidth="1"/>
    <col min="11794" max="11794" width="9.42578125" style="251" customWidth="1"/>
    <col min="11795" max="11853" width="9.140625" style="251"/>
    <col min="11854" max="11854" width="2.42578125" style="251" customWidth="1"/>
    <col min="11855" max="11855" width="13.42578125" style="251" bestFit="1" customWidth="1"/>
    <col min="11856" max="11859" width="13.42578125" style="251" customWidth="1"/>
    <col min="11860" max="11860" width="15" style="251" bestFit="1" customWidth="1"/>
    <col min="11861" max="11861" width="14.140625" style="251" customWidth="1"/>
    <col min="11862" max="11862" width="3.42578125" style="251" customWidth="1"/>
    <col min="11863" max="11863" width="19.5703125" style="251" bestFit="1" customWidth="1"/>
    <col min="11864" max="11864" width="10.140625" style="251" bestFit="1" customWidth="1"/>
    <col min="11865" max="11865" width="1.140625" style="251" customWidth="1"/>
    <col min="11866" max="11866" width="9.140625" style="251"/>
    <col min="11867" max="11867" width="10.140625" style="251" bestFit="1" customWidth="1"/>
    <col min="11868" max="11868" width="1.140625" style="251" customWidth="1"/>
    <col min="11869" max="11869" width="10.140625" style="251" bestFit="1" customWidth="1"/>
    <col min="11870" max="11870" width="11.42578125" style="251" bestFit="1" customWidth="1"/>
    <col min="11871" max="12026" width="9.140625" style="251"/>
    <col min="12027" max="12027" width="14" style="251" customWidth="1"/>
    <col min="12028" max="12030" width="15.28515625" style="251" customWidth="1"/>
    <col min="12031" max="12031" width="2.5703125" style="251" customWidth="1"/>
    <col min="12032" max="12049" width="0" style="251" hidden="1" customWidth="1"/>
    <col min="12050" max="12050" width="9.42578125" style="251" customWidth="1"/>
    <col min="12051" max="12109" width="9.140625" style="251"/>
    <col min="12110" max="12110" width="2.42578125" style="251" customWidth="1"/>
    <col min="12111" max="12111" width="13.42578125" style="251" bestFit="1" customWidth="1"/>
    <col min="12112" max="12115" width="13.42578125" style="251" customWidth="1"/>
    <col min="12116" max="12116" width="15" style="251" bestFit="1" customWidth="1"/>
    <col min="12117" max="12117" width="14.140625" style="251" customWidth="1"/>
    <col min="12118" max="12118" width="3.42578125" style="251" customWidth="1"/>
    <col min="12119" max="12119" width="19.5703125" style="251" bestFit="1" customWidth="1"/>
    <col min="12120" max="12120" width="10.140625" style="251" bestFit="1" customWidth="1"/>
    <col min="12121" max="12121" width="1.140625" style="251" customWidth="1"/>
    <col min="12122" max="12122" width="9.140625" style="251"/>
    <col min="12123" max="12123" width="10.140625" style="251" bestFit="1" customWidth="1"/>
    <col min="12124" max="12124" width="1.140625" style="251" customWidth="1"/>
    <col min="12125" max="12125" width="10.140625" style="251" bestFit="1" customWidth="1"/>
    <col min="12126" max="12126" width="11.42578125" style="251" bestFit="1" customWidth="1"/>
    <col min="12127" max="12282" width="9.140625" style="251"/>
    <col min="12283" max="12283" width="14" style="251" customWidth="1"/>
    <col min="12284" max="12286" width="15.28515625" style="251" customWidth="1"/>
    <col min="12287" max="12287" width="2.5703125" style="251" customWidth="1"/>
    <col min="12288" max="12305" width="0" style="251" hidden="1" customWidth="1"/>
    <col min="12306" max="12306" width="9.42578125" style="251" customWidth="1"/>
    <col min="12307" max="12365" width="9.140625" style="251"/>
    <col min="12366" max="12366" width="2.42578125" style="251" customWidth="1"/>
    <col min="12367" max="12367" width="13.42578125" style="251" bestFit="1" customWidth="1"/>
    <col min="12368" max="12371" width="13.42578125" style="251" customWidth="1"/>
    <col min="12372" max="12372" width="15" style="251" bestFit="1" customWidth="1"/>
    <col min="12373" max="12373" width="14.140625" style="251" customWidth="1"/>
    <col min="12374" max="12374" width="3.42578125" style="251" customWidth="1"/>
    <col min="12375" max="12375" width="19.5703125" style="251" bestFit="1" customWidth="1"/>
    <col min="12376" max="12376" width="10.140625" style="251" bestFit="1" customWidth="1"/>
    <col min="12377" max="12377" width="1.140625" style="251" customWidth="1"/>
    <col min="12378" max="12378" width="9.140625" style="251"/>
    <col min="12379" max="12379" width="10.140625" style="251" bestFit="1" customWidth="1"/>
    <col min="12380" max="12380" width="1.140625" style="251" customWidth="1"/>
    <col min="12381" max="12381" width="10.140625" style="251" bestFit="1" customWidth="1"/>
    <col min="12382" max="12382" width="11.42578125" style="251" bestFit="1" customWidth="1"/>
    <col min="12383" max="12538" width="9.140625" style="251"/>
    <col min="12539" max="12539" width="14" style="251" customWidth="1"/>
    <col min="12540" max="12542" width="15.28515625" style="251" customWidth="1"/>
    <col min="12543" max="12543" width="2.5703125" style="251" customWidth="1"/>
    <col min="12544" max="12561" width="0" style="251" hidden="1" customWidth="1"/>
    <col min="12562" max="12562" width="9.42578125" style="251" customWidth="1"/>
    <col min="12563" max="12621" width="9.140625" style="251"/>
    <col min="12622" max="12622" width="2.42578125" style="251" customWidth="1"/>
    <col min="12623" max="12623" width="13.42578125" style="251" bestFit="1" customWidth="1"/>
    <col min="12624" max="12627" width="13.42578125" style="251" customWidth="1"/>
    <col min="12628" max="12628" width="15" style="251" bestFit="1" customWidth="1"/>
    <col min="12629" max="12629" width="14.140625" style="251" customWidth="1"/>
    <col min="12630" max="12630" width="3.42578125" style="251" customWidth="1"/>
    <col min="12631" max="12631" width="19.5703125" style="251" bestFit="1" customWidth="1"/>
    <col min="12632" max="12632" width="10.140625" style="251" bestFit="1" customWidth="1"/>
    <col min="12633" max="12633" width="1.140625" style="251" customWidth="1"/>
    <col min="12634" max="12634" width="9.140625" style="251"/>
    <col min="12635" max="12635" width="10.140625" style="251" bestFit="1" customWidth="1"/>
    <col min="12636" max="12636" width="1.140625" style="251" customWidth="1"/>
    <col min="12637" max="12637" width="10.140625" style="251" bestFit="1" customWidth="1"/>
    <col min="12638" max="12638" width="11.42578125" style="251" bestFit="1" customWidth="1"/>
    <col min="12639" max="12794" width="9.140625" style="251"/>
    <col min="12795" max="12795" width="14" style="251" customWidth="1"/>
    <col min="12796" max="12798" width="15.28515625" style="251" customWidth="1"/>
    <col min="12799" max="12799" width="2.5703125" style="251" customWidth="1"/>
    <col min="12800" max="12817" width="0" style="251" hidden="1" customWidth="1"/>
    <col min="12818" max="12818" width="9.42578125" style="251" customWidth="1"/>
    <col min="12819" max="12877" width="9.140625" style="251"/>
    <col min="12878" max="12878" width="2.42578125" style="251" customWidth="1"/>
    <col min="12879" max="12879" width="13.42578125" style="251" bestFit="1" customWidth="1"/>
    <col min="12880" max="12883" width="13.42578125" style="251" customWidth="1"/>
    <col min="12884" max="12884" width="15" style="251" bestFit="1" customWidth="1"/>
    <col min="12885" max="12885" width="14.140625" style="251" customWidth="1"/>
    <col min="12886" max="12886" width="3.42578125" style="251" customWidth="1"/>
    <col min="12887" max="12887" width="19.5703125" style="251" bestFit="1" customWidth="1"/>
    <col min="12888" max="12888" width="10.140625" style="251" bestFit="1" customWidth="1"/>
    <col min="12889" max="12889" width="1.140625" style="251" customWidth="1"/>
    <col min="12890" max="12890" width="9.140625" style="251"/>
    <col min="12891" max="12891" width="10.140625" style="251" bestFit="1" customWidth="1"/>
    <col min="12892" max="12892" width="1.140625" style="251" customWidth="1"/>
    <col min="12893" max="12893" width="10.140625" style="251" bestFit="1" customWidth="1"/>
    <col min="12894" max="12894" width="11.42578125" style="251" bestFit="1" customWidth="1"/>
    <col min="12895" max="13050" width="9.140625" style="251"/>
    <col min="13051" max="13051" width="14" style="251" customWidth="1"/>
    <col min="13052" max="13054" width="15.28515625" style="251" customWidth="1"/>
    <col min="13055" max="13055" width="2.5703125" style="251" customWidth="1"/>
    <col min="13056" max="13073" width="0" style="251" hidden="1" customWidth="1"/>
    <col min="13074" max="13074" width="9.42578125" style="251" customWidth="1"/>
    <col min="13075" max="13133" width="9.140625" style="251"/>
    <col min="13134" max="13134" width="2.42578125" style="251" customWidth="1"/>
    <col min="13135" max="13135" width="13.42578125" style="251" bestFit="1" customWidth="1"/>
    <col min="13136" max="13139" width="13.42578125" style="251" customWidth="1"/>
    <col min="13140" max="13140" width="15" style="251" bestFit="1" customWidth="1"/>
    <col min="13141" max="13141" width="14.140625" style="251" customWidth="1"/>
    <col min="13142" max="13142" width="3.42578125" style="251" customWidth="1"/>
    <col min="13143" max="13143" width="19.5703125" style="251" bestFit="1" customWidth="1"/>
    <col min="13144" max="13144" width="10.140625" style="251" bestFit="1" customWidth="1"/>
    <col min="13145" max="13145" width="1.140625" style="251" customWidth="1"/>
    <col min="13146" max="13146" width="9.140625" style="251"/>
    <col min="13147" max="13147" width="10.140625" style="251" bestFit="1" customWidth="1"/>
    <col min="13148" max="13148" width="1.140625" style="251" customWidth="1"/>
    <col min="13149" max="13149" width="10.140625" style="251" bestFit="1" customWidth="1"/>
    <col min="13150" max="13150" width="11.42578125" style="251" bestFit="1" customWidth="1"/>
    <col min="13151" max="13306" width="9.140625" style="251"/>
    <col min="13307" max="13307" width="14" style="251" customWidth="1"/>
    <col min="13308" max="13310" width="15.28515625" style="251" customWidth="1"/>
    <col min="13311" max="13311" width="2.5703125" style="251" customWidth="1"/>
    <col min="13312" max="13329" width="0" style="251" hidden="1" customWidth="1"/>
    <col min="13330" max="13330" width="9.42578125" style="251" customWidth="1"/>
    <col min="13331" max="13389" width="9.140625" style="251"/>
    <col min="13390" max="13390" width="2.42578125" style="251" customWidth="1"/>
    <col min="13391" max="13391" width="13.42578125" style="251" bestFit="1" customWidth="1"/>
    <col min="13392" max="13395" width="13.42578125" style="251" customWidth="1"/>
    <col min="13396" max="13396" width="15" style="251" bestFit="1" customWidth="1"/>
    <col min="13397" max="13397" width="14.140625" style="251" customWidth="1"/>
    <col min="13398" max="13398" width="3.42578125" style="251" customWidth="1"/>
    <col min="13399" max="13399" width="19.5703125" style="251" bestFit="1" customWidth="1"/>
    <col min="13400" max="13400" width="10.140625" style="251" bestFit="1" customWidth="1"/>
    <col min="13401" max="13401" width="1.140625" style="251" customWidth="1"/>
    <col min="13402" max="13402" width="9.140625" style="251"/>
    <col min="13403" max="13403" width="10.140625" style="251" bestFit="1" customWidth="1"/>
    <col min="13404" max="13404" width="1.140625" style="251" customWidth="1"/>
    <col min="13405" max="13405" width="10.140625" style="251" bestFit="1" customWidth="1"/>
    <col min="13406" max="13406" width="11.42578125" style="251" bestFit="1" customWidth="1"/>
    <col min="13407" max="13562" width="9.140625" style="251"/>
    <col min="13563" max="13563" width="14" style="251" customWidth="1"/>
    <col min="13564" max="13566" width="15.28515625" style="251" customWidth="1"/>
    <col min="13567" max="13567" width="2.5703125" style="251" customWidth="1"/>
    <col min="13568" max="13585" width="0" style="251" hidden="1" customWidth="1"/>
    <col min="13586" max="13586" width="9.42578125" style="251" customWidth="1"/>
    <col min="13587" max="13645" width="9.140625" style="251"/>
    <col min="13646" max="13646" width="2.42578125" style="251" customWidth="1"/>
    <col min="13647" max="13647" width="13.42578125" style="251" bestFit="1" customWidth="1"/>
    <col min="13648" max="13651" width="13.42578125" style="251" customWidth="1"/>
    <col min="13652" max="13652" width="15" style="251" bestFit="1" customWidth="1"/>
    <col min="13653" max="13653" width="14.140625" style="251" customWidth="1"/>
    <col min="13654" max="13654" width="3.42578125" style="251" customWidth="1"/>
    <col min="13655" max="13655" width="19.5703125" style="251" bestFit="1" customWidth="1"/>
    <col min="13656" max="13656" width="10.140625" style="251" bestFit="1" customWidth="1"/>
    <col min="13657" max="13657" width="1.140625" style="251" customWidth="1"/>
    <col min="13658" max="13658" width="9.140625" style="251"/>
    <col min="13659" max="13659" width="10.140625" style="251" bestFit="1" customWidth="1"/>
    <col min="13660" max="13660" width="1.140625" style="251" customWidth="1"/>
    <col min="13661" max="13661" width="10.140625" style="251" bestFit="1" customWidth="1"/>
    <col min="13662" max="13662" width="11.42578125" style="251" bestFit="1" customWidth="1"/>
    <col min="13663" max="13818" width="9.140625" style="251"/>
    <col min="13819" max="13819" width="14" style="251" customWidth="1"/>
    <col min="13820" max="13822" width="15.28515625" style="251" customWidth="1"/>
    <col min="13823" max="13823" width="2.5703125" style="251" customWidth="1"/>
    <col min="13824" max="13841" width="0" style="251" hidden="1" customWidth="1"/>
    <col min="13842" max="13842" width="9.42578125" style="251" customWidth="1"/>
    <col min="13843" max="13901" width="9.140625" style="251"/>
    <col min="13902" max="13902" width="2.42578125" style="251" customWidth="1"/>
    <col min="13903" max="13903" width="13.42578125" style="251" bestFit="1" customWidth="1"/>
    <col min="13904" max="13907" width="13.42578125" style="251" customWidth="1"/>
    <col min="13908" max="13908" width="15" style="251" bestFit="1" customWidth="1"/>
    <col min="13909" max="13909" width="14.140625" style="251" customWidth="1"/>
    <col min="13910" max="13910" width="3.42578125" style="251" customWidth="1"/>
    <col min="13911" max="13911" width="19.5703125" style="251" bestFit="1" customWidth="1"/>
    <col min="13912" max="13912" width="10.140625" style="251" bestFit="1" customWidth="1"/>
    <col min="13913" max="13913" width="1.140625" style="251" customWidth="1"/>
    <col min="13914" max="13914" width="9.140625" style="251"/>
    <col min="13915" max="13915" width="10.140625" style="251" bestFit="1" customWidth="1"/>
    <col min="13916" max="13916" width="1.140625" style="251" customWidth="1"/>
    <col min="13917" max="13917" width="10.140625" style="251" bestFit="1" customWidth="1"/>
    <col min="13918" max="13918" width="11.42578125" style="251" bestFit="1" customWidth="1"/>
    <col min="13919" max="14074" width="9.140625" style="251"/>
    <col min="14075" max="14075" width="14" style="251" customWidth="1"/>
    <col min="14076" max="14078" width="15.28515625" style="251" customWidth="1"/>
    <col min="14079" max="14079" width="2.5703125" style="251" customWidth="1"/>
    <col min="14080" max="14097" width="0" style="251" hidden="1" customWidth="1"/>
    <col min="14098" max="14098" width="9.42578125" style="251" customWidth="1"/>
    <col min="14099" max="14157" width="9.140625" style="251"/>
    <col min="14158" max="14158" width="2.42578125" style="251" customWidth="1"/>
    <col min="14159" max="14159" width="13.42578125" style="251" bestFit="1" customWidth="1"/>
    <col min="14160" max="14163" width="13.42578125" style="251" customWidth="1"/>
    <col min="14164" max="14164" width="15" style="251" bestFit="1" customWidth="1"/>
    <col min="14165" max="14165" width="14.140625" style="251" customWidth="1"/>
    <col min="14166" max="14166" width="3.42578125" style="251" customWidth="1"/>
    <col min="14167" max="14167" width="19.5703125" style="251" bestFit="1" customWidth="1"/>
    <col min="14168" max="14168" width="10.140625" style="251" bestFit="1" customWidth="1"/>
    <col min="14169" max="14169" width="1.140625" style="251" customWidth="1"/>
    <col min="14170" max="14170" width="9.140625" style="251"/>
    <col min="14171" max="14171" width="10.140625" style="251" bestFit="1" customWidth="1"/>
    <col min="14172" max="14172" width="1.140625" style="251" customWidth="1"/>
    <col min="14173" max="14173" width="10.140625" style="251" bestFit="1" customWidth="1"/>
    <col min="14174" max="14174" width="11.42578125" style="251" bestFit="1" customWidth="1"/>
    <col min="14175" max="14330" width="9.140625" style="251"/>
    <col min="14331" max="14331" width="14" style="251" customWidth="1"/>
    <col min="14332" max="14334" width="15.28515625" style="251" customWidth="1"/>
    <col min="14335" max="14335" width="2.5703125" style="251" customWidth="1"/>
    <col min="14336" max="14353" width="0" style="251" hidden="1" customWidth="1"/>
    <col min="14354" max="14354" width="9.42578125" style="251" customWidth="1"/>
    <col min="14355" max="14413" width="9.140625" style="251"/>
    <col min="14414" max="14414" width="2.42578125" style="251" customWidth="1"/>
    <col min="14415" max="14415" width="13.42578125" style="251" bestFit="1" customWidth="1"/>
    <col min="14416" max="14419" width="13.42578125" style="251" customWidth="1"/>
    <col min="14420" max="14420" width="15" style="251" bestFit="1" customWidth="1"/>
    <col min="14421" max="14421" width="14.140625" style="251" customWidth="1"/>
    <col min="14422" max="14422" width="3.42578125" style="251" customWidth="1"/>
    <col min="14423" max="14423" width="19.5703125" style="251" bestFit="1" customWidth="1"/>
    <col min="14424" max="14424" width="10.140625" style="251" bestFit="1" customWidth="1"/>
    <col min="14425" max="14425" width="1.140625" style="251" customWidth="1"/>
    <col min="14426" max="14426" width="9.140625" style="251"/>
    <col min="14427" max="14427" width="10.140625" style="251" bestFit="1" customWidth="1"/>
    <col min="14428" max="14428" width="1.140625" style="251" customWidth="1"/>
    <col min="14429" max="14429" width="10.140625" style="251" bestFit="1" customWidth="1"/>
    <col min="14430" max="14430" width="11.42578125" style="251" bestFit="1" customWidth="1"/>
    <col min="14431" max="14586" width="9.140625" style="251"/>
    <col min="14587" max="14587" width="14" style="251" customWidth="1"/>
    <col min="14588" max="14590" width="15.28515625" style="251" customWidth="1"/>
    <col min="14591" max="14591" width="2.5703125" style="251" customWidth="1"/>
    <col min="14592" max="14609" width="0" style="251" hidden="1" customWidth="1"/>
    <col min="14610" max="14610" width="9.42578125" style="251" customWidth="1"/>
    <col min="14611" max="14669" width="9.140625" style="251"/>
    <col min="14670" max="14670" width="2.42578125" style="251" customWidth="1"/>
    <col min="14671" max="14671" width="13.42578125" style="251" bestFit="1" customWidth="1"/>
    <col min="14672" max="14675" width="13.42578125" style="251" customWidth="1"/>
    <col min="14676" max="14676" width="15" style="251" bestFit="1" customWidth="1"/>
    <col min="14677" max="14677" width="14.140625" style="251" customWidth="1"/>
    <col min="14678" max="14678" width="3.42578125" style="251" customWidth="1"/>
    <col min="14679" max="14679" width="19.5703125" style="251" bestFit="1" customWidth="1"/>
    <col min="14680" max="14680" width="10.140625" style="251" bestFit="1" customWidth="1"/>
    <col min="14681" max="14681" width="1.140625" style="251" customWidth="1"/>
    <col min="14682" max="14682" width="9.140625" style="251"/>
    <col min="14683" max="14683" width="10.140625" style="251" bestFit="1" customWidth="1"/>
    <col min="14684" max="14684" width="1.140625" style="251" customWidth="1"/>
    <col min="14685" max="14685" width="10.140625" style="251" bestFit="1" customWidth="1"/>
    <col min="14686" max="14686" width="11.42578125" style="251" bestFit="1" customWidth="1"/>
    <col min="14687" max="14842" width="9.140625" style="251"/>
    <col min="14843" max="14843" width="14" style="251" customWidth="1"/>
    <col min="14844" max="14846" width="15.28515625" style="251" customWidth="1"/>
    <col min="14847" max="14847" width="2.5703125" style="251" customWidth="1"/>
    <col min="14848" max="14865" width="0" style="251" hidden="1" customWidth="1"/>
    <col min="14866" max="14866" width="9.42578125" style="251" customWidth="1"/>
    <col min="14867" max="14925" width="9.140625" style="251"/>
    <col min="14926" max="14926" width="2.42578125" style="251" customWidth="1"/>
    <col min="14927" max="14927" width="13.42578125" style="251" bestFit="1" customWidth="1"/>
    <col min="14928" max="14931" width="13.42578125" style="251" customWidth="1"/>
    <col min="14932" max="14932" width="15" style="251" bestFit="1" customWidth="1"/>
    <col min="14933" max="14933" width="14.140625" style="251" customWidth="1"/>
    <col min="14934" max="14934" width="3.42578125" style="251" customWidth="1"/>
    <col min="14935" max="14935" width="19.5703125" style="251" bestFit="1" customWidth="1"/>
    <col min="14936" max="14936" width="10.140625" style="251" bestFit="1" customWidth="1"/>
    <col min="14937" max="14937" width="1.140625" style="251" customWidth="1"/>
    <col min="14938" max="14938" width="9.140625" style="251"/>
    <col min="14939" max="14939" width="10.140625" style="251" bestFit="1" customWidth="1"/>
    <col min="14940" max="14940" width="1.140625" style="251" customWidth="1"/>
    <col min="14941" max="14941" width="10.140625" style="251" bestFit="1" customWidth="1"/>
    <col min="14942" max="14942" width="11.42578125" style="251" bestFit="1" customWidth="1"/>
    <col min="14943" max="15098" width="9.140625" style="251"/>
    <col min="15099" max="15099" width="14" style="251" customWidth="1"/>
    <col min="15100" max="15102" width="15.28515625" style="251" customWidth="1"/>
    <col min="15103" max="15103" width="2.5703125" style="251" customWidth="1"/>
    <col min="15104" max="15121" width="0" style="251" hidden="1" customWidth="1"/>
    <col min="15122" max="15122" width="9.42578125" style="251" customWidth="1"/>
    <col min="15123" max="15181" width="9.140625" style="251"/>
    <col min="15182" max="15182" width="2.42578125" style="251" customWidth="1"/>
    <col min="15183" max="15183" width="13.42578125" style="251" bestFit="1" customWidth="1"/>
    <col min="15184" max="15187" width="13.42578125" style="251" customWidth="1"/>
    <col min="15188" max="15188" width="15" style="251" bestFit="1" customWidth="1"/>
    <col min="15189" max="15189" width="14.140625" style="251" customWidth="1"/>
    <col min="15190" max="15190" width="3.42578125" style="251" customWidth="1"/>
    <col min="15191" max="15191" width="19.5703125" style="251" bestFit="1" customWidth="1"/>
    <col min="15192" max="15192" width="10.140625" style="251" bestFit="1" customWidth="1"/>
    <col min="15193" max="15193" width="1.140625" style="251" customWidth="1"/>
    <col min="15194" max="15194" width="9.140625" style="251"/>
    <col min="15195" max="15195" width="10.140625" style="251" bestFit="1" customWidth="1"/>
    <col min="15196" max="15196" width="1.140625" style="251" customWidth="1"/>
    <col min="15197" max="15197" width="10.140625" style="251" bestFit="1" customWidth="1"/>
    <col min="15198" max="15198" width="11.42578125" style="251" bestFit="1" customWidth="1"/>
    <col min="15199" max="15354" width="9.140625" style="251"/>
    <col min="15355" max="15355" width="14" style="251" customWidth="1"/>
    <col min="15356" max="15358" width="15.28515625" style="251" customWidth="1"/>
    <col min="15359" max="15359" width="2.5703125" style="251" customWidth="1"/>
    <col min="15360" max="15377" width="0" style="251" hidden="1" customWidth="1"/>
    <col min="15378" max="15378" width="9.42578125" style="251" customWidth="1"/>
    <col min="15379" max="15437" width="9.140625" style="251"/>
    <col min="15438" max="15438" width="2.42578125" style="251" customWidth="1"/>
    <col min="15439" max="15439" width="13.42578125" style="251" bestFit="1" customWidth="1"/>
    <col min="15440" max="15443" width="13.42578125" style="251" customWidth="1"/>
    <col min="15444" max="15444" width="15" style="251" bestFit="1" customWidth="1"/>
    <col min="15445" max="15445" width="14.140625" style="251" customWidth="1"/>
    <col min="15446" max="15446" width="3.42578125" style="251" customWidth="1"/>
    <col min="15447" max="15447" width="19.5703125" style="251" bestFit="1" customWidth="1"/>
    <col min="15448" max="15448" width="10.140625" style="251" bestFit="1" customWidth="1"/>
    <col min="15449" max="15449" width="1.140625" style="251" customWidth="1"/>
    <col min="15450" max="15450" width="9.140625" style="251"/>
    <col min="15451" max="15451" width="10.140625" style="251" bestFit="1" customWidth="1"/>
    <col min="15452" max="15452" width="1.140625" style="251" customWidth="1"/>
    <col min="15453" max="15453" width="10.140625" style="251" bestFit="1" customWidth="1"/>
    <col min="15454" max="15454" width="11.42578125" style="251" bestFit="1" customWidth="1"/>
    <col min="15455" max="15610" width="9.140625" style="251"/>
    <col min="15611" max="15611" width="14" style="251" customWidth="1"/>
    <col min="15612" max="15614" width="15.28515625" style="251" customWidth="1"/>
    <col min="15615" max="15615" width="2.5703125" style="251" customWidth="1"/>
    <col min="15616" max="15633" width="0" style="251" hidden="1" customWidth="1"/>
    <col min="15634" max="15634" width="9.42578125" style="251" customWidth="1"/>
    <col min="15635" max="15693" width="9.140625" style="251"/>
    <col min="15694" max="15694" width="2.42578125" style="251" customWidth="1"/>
    <col min="15695" max="15695" width="13.42578125" style="251" bestFit="1" customWidth="1"/>
    <col min="15696" max="15699" width="13.42578125" style="251" customWidth="1"/>
    <col min="15700" max="15700" width="15" style="251" bestFit="1" customWidth="1"/>
    <col min="15701" max="15701" width="14.140625" style="251" customWidth="1"/>
    <col min="15702" max="15702" width="3.42578125" style="251" customWidth="1"/>
    <col min="15703" max="15703" width="19.5703125" style="251" bestFit="1" customWidth="1"/>
    <col min="15704" max="15704" width="10.140625" style="251" bestFit="1" customWidth="1"/>
    <col min="15705" max="15705" width="1.140625" style="251" customWidth="1"/>
    <col min="15706" max="15706" width="9.140625" style="251"/>
    <col min="15707" max="15707" width="10.140625" style="251" bestFit="1" customWidth="1"/>
    <col min="15708" max="15708" width="1.140625" style="251" customWidth="1"/>
    <col min="15709" max="15709" width="10.140625" style="251" bestFit="1" customWidth="1"/>
    <col min="15710" max="15710" width="11.42578125" style="251" bestFit="1" customWidth="1"/>
    <col min="15711" max="15866" width="9.140625" style="251"/>
    <col min="15867" max="15867" width="14" style="251" customWidth="1"/>
    <col min="15868" max="15870" width="15.28515625" style="251" customWidth="1"/>
    <col min="15871" max="15871" width="2.5703125" style="251" customWidth="1"/>
    <col min="15872" max="15889" width="0" style="251" hidden="1" customWidth="1"/>
    <col min="15890" max="15890" width="9.42578125" style="251" customWidth="1"/>
    <col min="15891" max="15949" width="9.140625" style="251"/>
    <col min="15950" max="15950" width="2.42578125" style="251" customWidth="1"/>
    <col min="15951" max="15951" width="13.42578125" style="251" bestFit="1" customWidth="1"/>
    <col min="15952" max="15955" width="13.42578125" style="251" customWidth="1"/>
    <col min="15956" max="15956" width="15" style="251" bestFit="1" customWidth="1"/>
    <col min="15957" max="15957" width="14.140625" style="251" customWidth="1"/>
    <col min="15958" max="15958" width="3.42578125" style="251" customWidth="1"/>
    <col min="15959" max="15959" width="19.5703125" style="251" bestFit="1" customWidth="1"/>
    <col min="15960" max="15960" width="10.140625" style="251" bestFit="1" customWidth="1"/>
    <col min="15961" max="15961" width="1.140625" style="251" customWidth="1"/>
    <col min="15962" max="15962" width="9.140625" style="251"/>
    <col min="15963" max="15963" width="10.140625" style="251" bestFit="1" customWidth="1"/>
    <col min="15964" max="15964" width="1.140625" style="251" customWidth="1"/>
    <col min="15965" max="15965" width="10.140625" style="251" bestFit="1" customWidth="1"/>
    <col min="15966" max="15966" width="11.42578125" style="251" bestFit="1" customWidth="1"/>
    <col min="15967" max="16122" width="9.140625" style="251"/>
    <col min="16123" max="16123" width="14" style="251" customWidth="1"/>
    <col min="16124" max="16126" width="15.28515625" style="251" customWidth="1"/>
    <col min="16127" max="16127" width="2.5703125" style="251" customWidth="1"/>
    <col min="16128" max="16145" width="0" style="251" hidden="1" customWidth="1"/>
    <col min="16146" max="16146" width="9.42578125" style="251" customWidth="1"/>
    <col min="16147" max="16205" width="9.140625" style="251"/>
    <col min="16206" max="16206" width="2.42578125" style="251" customWidth="1"/>
    <col min="16207" max="16207" width="13.42578125" style="251" bestFit="1" customWidth="1"/>
    <col min="16208" max="16211" width="13.42578125" style="251" customWidth="1"/>
    <col min="16212" max="16212" width="15" style="251" bestFit="1" customWidth="1"/>
    <col min="16213" max="16213" width="14.140625" style="251" customWidth="1"/>
    <col min="16214" max="16214" width="3.42578125" style="251" customWidth="1"/>
    <col min="16215" max="16215" width="19.5703125" style="251" bestFit="1" customWidth="1"/>
    <col min="16216" max="16216" width="10.140625" style="251" bestFit="1" customWidth="1"/>
    <col min="16217" max="16217" width="1.140625" style="251" customWidth="1"/>
    <col min="16218" max="16218" width="9.140625" style="251"/>
    <col min="16219" max="16219" width="10.140625" style="251" bestFit="1" customWidth="1"/>
    <col min="16220" max="16220" width="1.140625" style="251" customWidth="1"/>
    <col min="16221" max="16221" width="10.140625" style="251" bestFit="1" customWidth="1"/>
    <col min="16222" max="16222" width="11.42578125" style="251" bestFit="1" customWidth="1"/>
    <col min="16223" max="16384" width="9.140625" style="251"/>
  </cols>
  <sheetData>
    <row r="1" spans="1:97" ht="15" x14ac:dyDescent="0.25">
      <c r="B1" s="257" t="s">
        <v>1039</v>
      </c>
      <c r="C1" s="257"/>
      <c r="D1" s="257"/>
      <c r="E1" s="257"/>
      <c r="F1" s="257"/>
      <c r="G1" s="257"/>
      <c r="S1" s="258" t="s">
        <v>298</v>
      </c>
      <c r="T1" s="259">
        <v>1164</v>
      </c>
      <c r="CJ1" s="628"/>
      <c r="CK1" s="628"/>
      <c r="CO1" s="628"/>
      <c r="CP1" s="628"/>
      <c r="CQ1" s="635"/>
      <c r="CS1" s="635"/>
    </row>
    <row r="2" spans="1:97" ht="15" x14ac:dyDescent="0.25">
      <c r="H2" s="1231" t="s">
        <v>299</v>
      </c>
      <c r="I2" s="1231"/>
      <c r="J2" s="1231"/>
      <c r="K2" s="1231"/>
      <c r="L2" s="1231"/>
      <c r="M2" s="1231"/>
      <c r="N2" s="1231"/>
      <c r="O2" s="1231"/>
      <c r="P2" s="1231"/>
      <c r="Q2" s="1231"/>
      <c r="R2" s="1231"/>
      <c r="S2" s="1231"/>
      <c r="T2" s="1231"/>
      <c r="U2" s="1231"/>
      <c r="V2" s="1231"/>
      <c r="W2" s="1231"/>
      <c r="X2" s="1231"/>
      <c r="Y2" s="1231"/>
      <c r="Z2" s="1232" t="s">
        <v>300</v>
      </c>
      <c r="AA2" s="1232"/>
      <c r="AB2" s="1232"/>
      <c r="AC2" s="1232"/>
      <c r="AD2" s="1232"/>
      <c r="AE2" s="1232"/>
      <c r="AF2" s="1232"/>
      <c r="AG2" s="1232"/>
      <c r="AH2" s="1232"/>
      <c r="AI2" s="1232"/>
      <c r="AJ2" s="1232"/>
      <c r="AK2" s="1232"/>
      <c r="AL2" s="1232"/>
      <c r="AM2" s="1232"/>
      <c r="AN2" s="1232"/>
      <c r="AO2" s="1232"/>
      <c r="AP2" s="1232"/>
      <c r="AQ2" s="1232"/>
      <c r="AT2" s="1232" t="s">
        <v>301</v>
      </c>
      <c r="AU2" s="1232"/>
      <c r="AV2" s="1232"/>
      <c r="AW2" s="1232"/>
      <c r="AX2" s="1232"/>
      <c r="AY2" s="1232"/>
      <c r="AZ2" s="1232"/>
      <c r="BA2" s="1232"/>
      <c r="BB2" s="1232"/>
      <c r="BC2" s="1232"/>
      <c r="BD2" s="1232"/>
      <c r="BE2" s="1232"/>
      <c r="BF2" s="1232"/>
      <c r="BG2" s="1232"/>
      <c r="BH2" s="1232"/>
      <c r="BI2" s="1232"/>
      <c r="BJ2" s="1232"/>
      <c r="BK2" s="1232"/>
      <c r="BN2" s="1232" t="s">
        <v>302</v>
      </c>
      <c r="BO2" s="1232"/>
      <c r="BP2" s="1232"/>
      <c r="BQ2" s="1232"/>
      <c r="BR2" s="1232"/>
      <c r="BS2" s="1232"/>
      <c r="BT2" s="1232"/>
      <c r="BU2" s="1232"/>
      <c r="BV2" s="1232"/>
      <c r="BW2" s="1232"/>
      <c r="BX2" s="1232"/>
      <c r="BY2" s="1232"/>
      <c r="BZ2" s="1232"/>
      <c r="CA2" s="1232"/>
      <c r="CB2" s="1232"/>
      <c r="CC2" s="1232"/>
      <c r="CD2" s="1232"/>
      <c r="CE2" s="1232"/>
      <c r="CJ2" s="628"/>
      <c r="CK2" s="628"/>
      <c r="CO2" s="628"/>
      <c r="CP2" s="628"/>
      <c r="CQ2" s="635"/>
      <c r="CS2" s="635"/>
    </row>
    <row r="3" spans="1:97" ht="30" x14ac:dyDescent="0.25">
      <c r="B3" s="257" t="s">
        <v>303</v>
      </c>
      <c r="C3" s="257"/>
      <c r="H3" s="261" t="s">
        <v>304</v>
      </c>
      <c r="I3" s="261" t="s">
        <v>305</v>
      </c>
      <c r="J3" s="261" t="s">
        <v>306</v>
      </c>
      <c r="K3" s="261" t="s">
        <v>307</v>
      </c>
      <c r="L3" s="261" t="s">
        <v>308</v>
      </c>
      <c r="M3" s="261" t="s">
        <v>309</v>
      </c>
      <c r="N3" s="261" t="s">
        <v>304</v>
      </c>
      <c r="O3" s="261" t="s">
        <v>305</v>
      </c>
      <c r="P3" s="261" t="s">
        <v>306</v>
      </c>
      <c r="Q3" s="261" t="s">
        <v>307</v>
      </c>
      <c r="R3" s="261" t="s">
        <v>308</v>
      </c>
      <c r="S3" s="261" t="s">
        <v>309</v>
      </c>
      <c r="T3" s="261" t="s">
        <v>304</v>
      </c>
      <c r="U3" s="261" t="s">
        <v>305</v>
      </c>
      <c r="V3" s="261" t="s">
        <v>306</v>
      </c>
      <c r="W3" s="261" t="s">
        <v>307</v>
      </c>
      <c r="X3" s="261" t="s">
        <v>308</v>
      </c>
      <c r="Y3" s="261" t="s">
        <v>309</v>
      </c>
      <c r="Z3" s="261" t="s">
        <v>304</v>
      </c>
      <c r="AA3" s="261" t="s">
        <v>305</v>
      </c>
      <c r="AB3" s="261" t="s">
        <v>306</v>
      </c>
      <c r="AC3" s="261" t="s">
        <v>307</v>
      </c>
      <c r="AD3" s="261" t="s">
        <v>308</v>
      </c>
      <c r="AE3" s="261" t="s">
        <v>309</v>
      </c>
      <c r="AF3" s="261" t="s">
        <v>304</v>
      </c>
      <c r="AG3" s="261" t="s">
        <v>305</v>
      </c>
      <c r="AH3" s="261" t="s">
        <v>306</v>
      </c>
      <c r="AI3" s="261" t="s">
        <v>307</v>
      </c>
      <c r="AJ3" s="261" t="s">
        <v>308</v>
      </c>
      <c r="AK3" s="261" t="s">
        <v>309</v>
      </c>
      <c r="AL3" s="261" t="s">
        <v>304</v>
      </c>
      <c r="AM3" s="261" t="s">
        <v>305</v>
      </c>
      <c r="AN3" s="261" t="s">
        <v>306</v>
      </c>
      <c r="AO3" s="261" t="s">
        <v>307</v>
      </c>
      <c r="AP3" s="261" t="s">
        <v>308</v>
      </c>
      <c r="AQ3" s="261" t="s">
        <v>309</v>
      </c>
      <c r="AR3" s="261" t="s">
        <v>291</v>
      </c>
      <c r="AT3" s="261" t="s">
        <v>304</v>
      </c>
      <c r="AU3" s="261" t="s">
        <v>305</v>
      </c>
      <c r="AV3" s="261" t="s">
        <v>306</v>
      </c>
      <c r="AW3" s="261" t="s">
        <v>307</v>
      </c>
      <c r="AX3" s="261" t="s">
        <v>308</v>
      </c>
      <c r="AY3" s="261" t="s">
        <v>309</v>
      </c>
      <c r="AZ3" s="261" t="s">
        <v>304</v>
      </c>
      <c r="BA3" s="261" t="s">
        <v>305</v>
      </c>
      <c r="BB3" s="261" t="s">
        <v>306</v>
      </c>
      <c r="BC3" s="261" t="s">
        <v>307</v>
      </c>
      <c r="BD3" s="261" t="s">
        <v>308</v>
      </c>
      <c r="BE3" s="261" t="s">
        <v>309</v>
      </c>
      <c r="BF3" s="261" t="s">
        <v>304</v>
      </c>
      <c r="BG3" s="261" t="s">
        <v>305</v>
      </c>
      <c r="BH3" s="261" t="s">
        <v>306</v>
      </c>
      <c r="BI3" s="261" t="s">
        <v>307</v>
      </c>
      <c r="BJ3" s="261" t="s">
        <v>308</v>
      </c>
      <c r="BK3" s="261" t="s">
        <v>309</v>
      </c>
      <c r="BL3" s="261" t="s">
        <v>291</v>
      </c>
      <c r="BN3" s="261" t="s">
        <v>304</v>
      </c>
      <c r="BO3" s="261" t="s">
        <v>305</v>
      </c>
      <c r="BP3" s="261" t="s">
        <v>306</v>
      </c>
      <c r="BQ3" s="261" t="s">
        <v>307</v>
      </c>
      <c r="BR3" s="261" t="s">
        <v>308</v>
      </c>
      <c r="BS3" s="261" t="s">
        <v>309</v>
      </c>
      <c r="BT3" s="261" t="s">
        <v>304</v>
      </c>
      <c r="BU3" s="261" t="s">
        <v>305</v>
      </c>
      <c r="BV3" s="261" t="s">
        <v>306</v>
      </c>
      <c r="BW3" s="261" t="s">
        <v>307</v>
      </c>
      <c r="BX3" s="261" t="s">
        <v>308</v>
      </c>
      <c r="BY3" s="261" t="s">
        <v>309</v>
      </c>
      <c r="BZ3" s="261" t="s">
        <v>304</v>
      </c>
      <c r="CA3" s="261" t="s">
        <v>305</v>
      </c>
      <c r="CB3" s="261" t="s">
        <v>306</v>
      </c>
      <c r="CC3" s="261" t="s">
        <v>307</v>
      </c>
      <c r="CD3" s="261" t="s">
        <v>308</v>
      </c>
      <c r="CE3" s="261" t="s">
        <v>309</v>
      </c>
      <c r="CF3" s="261" t="s">
        <v>291</v>
      </c>
      <c r="CH3" s="262" t="s">
        <v>310</v>
      </c>
      <c r="CI3" s="262" t="s">
        <v>310</v>
      </c>
      <c r="CJ3" s="629" t="s">
        <v>311</v>
      </c>
      <c r="CK3" s="629" t="s">
        <v>311</v>
      </c>
      <c r="CL3" s="262" t="s">
        <v>311</v>
      </c>
      <c r="CM3" s="262" t="s">
        <v>312</v>
      </c>
      <c r="CN3" s="262" t="s">
        <v>313</v>
      </c>
      <c r="CO3" s="629" t="s">
        <v>327</v>
      </c>
      <c r="CP3" s="629" t="s">
        <v>874</v>
      </c>
      <c r="CQ3" s="636" t="s">
        <v>314</v>
      </c>
      <c r="CR3" s="262" t="s">
        <v>315</v>
      </c>
      <c r="CS3" s="636" t="s">
        <v>316</v>
      </c>
    </row>
    <row r="4" spans="1:97" ht="15" x14ac:dyDescent="0.25">
      <c r="C4" s="263" t="s">
        <v>318</v>
      </c>
      <c r="D4" s="263" t="s">
        <v>318</v>
      </c>
      <c r="E4" s="263" t="s">
        <v>319</v>
      </c>
      <c r="F4" s="263" t="s">
        <v>291</v>
      </c>
      <c r="H4" s="261" t="s">
        <v>320</v>
      </c>
      <c r="I4" s="261" t="s">
        <v>320</v>
      </c>
      <c r="J4" s="261" t="s">
        <v>320</v>
      </c>
      <c r="K4" s="261" t="s">
        <v>320</v>
      </c>
      <c r="L4" s="261" t="s">
        <v>320</v>
      </c>
      <c r="M4" s="261" t="s">
        <v>320</v>
      </c>
      <c r="N4" s="261" t="s">
        <v>321</v>
      </c>
      <c r="O4" s="261" t="s">
        <v>321</v>
      </c>
      <c r="P4" s="261" t="s">
        <v>321</v>
      </c>
      <c r="Q4" s="261" t="s">
        <v>321</v>
      </c>
      <c r="R4" s="261" t="s">
        <v>321</v>
      </c>
      <c r="S4" s="261" t="s">
        <v>321</v>
      </c>
      <c r="T4" s="261" t="s">
        <v>322</v>
      </c>
      <c r="U4" s="261" t="s">
        <v>322</v>
      </c>
      <c r="V4" s="261" t="s">
        <v>322</v>
      </c>
      <c r="W4" s="261" t="s">
        <v>322</v>
      </c>
      <c r="X4" s="261" t="s">
        <v>322</v>
      </c>
      <c r="Y4" s="261" t="s">
        <v>322</v>
      </c>
      <c r="Z4" s="261" t="s">
        <v>320</v>
      </c>
      <c r="AA4" s="261" t="s">
        <v>320</v>
      </c>
      <c r="AB4" s="261" t="s">
        <v>320</v>
      </c>
      <c r="AC4" s="261" t="s">
        <v>320</v>
      </c>
      <c r="AD4" s="261" t="s">
        <v>320</v>
      </c>
      <c r="AE4" s="261" t="s">
        <v>320</v>
      </c>
      <c r="AF4" s="261" t="s">
        <v>321</v>
      </c>
      <c r="AG4" s="261" t="s">
        <v>321</v>
      </c>
      <c r="AH4" s="261" t="s">
        <v>321</v>
      </c>
      <c r="AI4" s="261" t="s">
        <v>321</v>
      </c>
      <c r="AJ4" s="261" t="s">
        <v>321</v>
      </c>
      <c r="AK4" s="261" t="s">
        <v>321</v>
      </c>
      <c r="AL4" s="261" t="s">
        <v>322</v>
      </c>
      <c r="AM4" s="261" t="s">
        <v>322</v>
      </c>
      <c r="AN4" s="261" t="s">
        <v>322</v>
      </c>
      <c r="AO4" s="261" t="s">
        <v>322</v>
      </c>
      <c r="AP4" s="261" t="s">
        <v>322</v>
      </c>
      <c r="AQ4" s="261" t="s">
        <v>322</v>
      </c>
      <c r="AT4" s="261" t="s">
        <v>320</v>
      </c>
      <c r="AU4" s="261" t="s">
        <v>320</v>
      </c>
      <c r="AV4" s="261" t="s">
        <v>320</v>
      </c>
      <c r="AW4" s="261" t="s">
        <v>320</v>
      </c>
      <c r="AX4" s="261" t="s">
        <v>320</v>
      </c>
      <c r="AY4" s="261" t="s">
        <v>320</v>
      </c>
      <c r="AZ4" s="261" t="s">
        <v>321</v>
      </c>
      <c r="BA4" s="261" t="s">
        <v>321</v>
      </c>
      <c r="BB4" s="261" t="s">
        <v>321</v>
      </c>
      <c r="BC4" s="261" t="s">
        <v>321</v>
      </c>
      <c r="BD4" s="261" t="s">
        <v>321</v>
      </c>
      <c r="BE4" s="261" t="s">
        <v>321</v>
      </c>
      <c r="BF4" s="261" t="s">
        <v>322</v>
      </c>
      <c r="BG4" s="261" t="s">
        <v>322</v>
      </c>
      <c r="BH4" s="261" t="s">
        <v>322</v>
      </c>
      <c r="BI4" s="261" t="s">
        <v>322</v>
      </c>
      <c r="BJ4" s="261" t="s">
        <v>322</v>
      </c>
      <c r="BK4" s="261" t="s">
        <v>322</v>
      </c>
      <c r="BN4" s="261" t="s">
        <v>320</v>
      </c>
      <c r="BO4" s="261" t="s">
        <v>320</v>
      </c>
      <c r="BP4" s="261" t="s">
        <v>320</v>
      </c>
      <c r="BQ4" s="261" t="s">
        <v>320</v>
      </c>
      <c r="BR4" s="261" t="s">
        <v>320</v>
      </c>
      <c r="BS4" s="261" t="s">
        <v>320</v>
      </c>
      <c r="BT4" s="261" t="s">
        <v>321</v>
      </c>
      <c r="BU4" s="261" t="s">
        <v>321</v>
      </c>
      <c r="BV4" s="261" t="s">
        <v>321</v>
      </c>
      <c r="BW4" s="261" t="s">
        <v>321</v>
      </c>
      <c r="BX4" s="261" t="s">
        <v>321</v>
      </c>
      <c r="BY4" s="261" t="s">
        <v>321</v>
      </c>
      <c r="BZ4" s="261" t="s">
        <v>322</v>
      </c>
      <c r="CA4" s="261" t="s">
        <v>322</v>
      </c>
      <c r="CB4" s="261" t="s">
        <v>322</v>
      </c>
      <c r="CC4" s="261" t="s">
        <v>322</v>
      </c>
      <c r="CD4" s="261" t="s">
        <v>322</v>
      </c>
      <c r="CE4" s="261" t="s">
        <v>322</v>
      </c>
      <c r="CH4" s="250" t="s">
        <v>869</v>
      </c>
      <c r="CI4" s="250" t="s">
        <v>870</v>
      </c>
      <c r="CJ4" s="630" t="s">
        <v>869</v>
      </c>
      <c r="CK4" s="630" t="s">
        <v>871</v>
      </c>
      <c r="CL4" s="265" t="s">
        <v>868</v>
      </c>
      <c r="CO4" s="630" t="s">
        <v>869</v>
      </c>
      <c r="CP4" s="630" t="s">
        <v>871</v>
      </c>
      <c r="CQ4" s="640" t="s">
        <v>868</v>
      </c>
      <c r="CS4" s="635"/>
    </row>
    <row r="5" spans="1:97" ht="15" x14ac:dyDescent="0.25">
      <c r="C5" s="263" t="s">
        <v>869</v>
      </c>
      <c r="D5" s="263" t="s">
        <v>871</v>
      </c>
      <c r="E5" s="263"/>
      <c r="F5" s="263"/>
      <c r="H5" s="264" t="s">
        <v>323</v>
      </c>
      <c r="I5" s="264" t="s">
        <v>323</v>
      </c>
      <c r="J5" s="264" t="s">
        <v>323</v>
      </c>
      <c r="K5" s="264" t="s">
        <v>323</v>
      </c>
      <c r="L5" s="264" t="s">
        <v>323</v>
      </c>
      <c r="M5" s="264" t="s">
        <v>323</v>
      </c>
      <c r="N5" s="264" t="s">
        <v>323</v>
      </c>
      <c r="O5" s="264" t="s">
        <v>323</v>
      </c>
      <c r="P5" s="264" t="s">
        <v>323</v>
      </c>
      <c r="Q5" s="264" t="s">
        <v>323</v>
      </c>
      <c r="R5" s="264" t="s">
        <v>323</v>
      </c>
      <c r="S5" s="264" t="s">
        <v>323</v>
      </c>
      <c r="T5" s="264" t="s">
        <v>323</v>
      </c>
      <c r="U5" s="264" t="s">
        <v>323</v>
      </c>
      <c r="V5" s="264" t="s">
        <v>323</v>
      </c>
      <c r="W5" s="264" t="s">
        <v>323</v>
      </c>
      <c r="X5" s="264" t="s">
        <v>323</v>
      </c>
      <c r="Y5" s="264" t="s">
        <v>323</v>
      </c>
      <c r="CJ5" s="628"/>
      <c r="CK5" s="628"/>
      <c r="CO5" s="628"/>
      <c r="CP5" s="628"/>
      <c r="CQ5" s="635"/>
      <c r="CS5" s="635"/>
    </row>
    <row r="6" spans="1:97" x14ac:dyDescent="0.2">
      <c r="A6" s="251">
        <v>7026</v>
      </c>
      <c r="B6" s="251" t="s">
        <v>292</v>
      </c>
      <c r="D6" s="251">
        <v>65</v>
      </c>
      <c r="E6" s="251">
        <v>1</v>
      </c>
      <c r="F6" s="251">
        <v>66</v>
      </c>
      <c r="J6" s="265"/>
      <c r="K6" s="265"/>
      <c r="L6" s="265"/>
      <c r="M6" s="265"/>
      <c r="P6" s="265"/>
      <c r="Q6" s="265"/>
      <c r="R6" s="265"/>
      <c r="S6" s="265"/>
      <c r="V6" s="265"/>
      <c r="W6" s="265"/>
      <c r="X6" s="265"/>
      <c r="Y6" s="265"/>
      <c r="AD6" s="251">
        <v>17</v>
      </c>
      <c r="AE6" s="251">
        <v>1</v>
      </c>
      <c r="AI6" s="251">
        <v>4</v>
      </c>
      <c r="AJ6" s="251">
        <v>19</v>
      </c>
      <c r="AK6" s="251">
        <v>1</v>
      </c>
      <c r="AO6" s="251">
        <v>2</v>
      </c>
      <c r="AP6" s="251">
        <v>20</v>
      </c>
      <c r="AQ6" s="251">
        <v>1</v>
      </c>
      <c r="AR6" s="251">
        <v>65</v>
      </c>
      <c r="BI6" s="251">
        <v>1</v>
      </c>
      <c r="BL6" s="251">
        <v>1</v>
      </c>
      <c r="BN6" s="251">
        <v>0</v>
      </c>
      <c r="BO6" s="251">
        <v>0</v>
      </c>
      <c r="BP6" s="251">
        <v>0</v>
      </c>
      <c r="BQ6" s="251">
        <v>0</v>
      </c>
      <c r="BR6" s="251">
        <v>17</v>
      </c>
      <c r="BS6" s="251">
        <v>1</v>
      </c>
      <c r="BT6" s="251">
        <v>0</v>
      </c>
      <c r="BU6" s="251">
        <v>0</v>
      </c>
      <c r="BV6" s="251">
        <v>0</v>
      </c>
      <c r="BW6" s="251">
        <v>4</v>
      </c>
      <c r="BX6" s="251">
        <v>19</v>
      </c>
      <c r="BY6" s="251">
        <v>1</v>
      </c>
      <c r="BZ6" s="251">
        <v>0</v>
      </c>
      <c r="CA6" s="251">
        <v>0</v>
      </c>
      <c r="CB6" s="251">
        <v>0</v>
      </c>
      <c r="CC6" s="251">
        <v>3</v>
      </c>
      <c r="CD6" s="251">
        <v>20</v>
      </c>
      <c r="CE6" s="251">
        <v>1</v>
      </c>
      <c r="CF6" s="251">
        <v>66</v>
      </c>
      <c r="CI6" s="250">
        <v>660000</v>
      </c>
      <c r="CJ6" s="628"/>
      <c r="CK6" s="628">
        <v>1078422.8380883045</v>
      </c>
      <c r="CL6" s="250">
        <v>1078422.8380883045</v>
      </c>
      <c r="CM6" s="250">
        <v>0</v>
      </c>
      <c r="CN6" s="250">
        <v>0</v>
      </c>
      <c r="CO6" s="628"/>
      <c r="CP6" s="628">
        <v>1738422.8380883045</v>
      </c>
      <c r="CQ6" s="635">
        <v>1738422.8380883045</v>
      </c>
      <c r="CR6" s="250">
        <v>10254.484628698921</v>
      </c>
      <c r="CS6" s="635">
        <v>1748677.3227170035</v>
      </c>
    </row>
    <row r="7" spans="1:97" x14ac:dyDescent="0.2">
      <c r="A7" s="251">
        <v>7027</v>
      </c>
      <c r="B7" s="251" t="s">
        <v>293</v>
      </c>
      <c r="D7" s="251">
        <v>61</v>
      </c>
      <c r="E7" s="251">
        <v>2</v>
      </c>
      <c r="F7" s="251">
        <v>63</v>
      </c>
      <c r="J7" s="265"/>
      <c r="K7" s="265"/>
      <c r="L7" s="265"/>
      <c r="M7" s="265"/>
      <c r="P7" s="265"/>
      <c r="Q7" s="265"/>
      <c r="R7" s="265"/>
      <c r="S7" s="265"/>
      <c r="V7" s="265"/>
      <c r="W7" s="265"/>
      <c r="X7" s="265"/>
      <c r="Y7" s="265"/>
      <c r="AO7" s="251">
        <v>36</v>
      </c>
      <c r="AP7" s="251">
        <v>21</v>
      </c>
      <c r="AQ7" s="251">
        <v>4</v>
      </c>
      <c r="AR7" s="251">
        <v>61</v>
      </c>
      <c r="BI7" s="251">
        <v>2</v>
      </c>
      <c r="BL7" s="251">
        <v>2</v>
      </c>
      <c r="BN7" s="251">
        <v>0</v>
      </c>
      <c r="BO7" s="251">
        <v>0</v>
      </c>
      <c r="BP7" s="251">
        <v>0</v>
      </c>
      <c r="BQ7" s="251">
        <v>0</v>
      </c>
      <c r="BR7" s="251">
        <v>0</v>
      </c>
      <c r="BS7" s="251">
        <v>0</v>
      </c>
      <c r="BT7" s="251">
        <v>0</v>
      </c>
      <c r="BU7" s="251">
        <v>0</v>
      </c>
      <c r="BV7" s="251">
        <v>0</v>
      </c>
      <c r="BW7" s="251">
        <v>0</v>
      </c>
      <c r="BX7" s="251">
        <v>0</v>
      </c>
      <c r="BY7" s="251">
        <v>0</v>
      </c>
      <c r="BZ7" s="251">
        <v>0</v>
      </c>
      <c r="CA7" s="251">
        <v>0</v>
      </c>
      <c r="CB7" s="251">
        <v>0</v>
      </c>
      <c r="CC7" s="251">
        <v>38</v>
      </c>
      <c r="CD7" s="251">
        <v>21</v>
      </c>
      <c r="CE7" s="251">
        <v>4</v>
      </c>
      <c r="CF7" s="251">
        <v>63</v>
      </c>
      <c r="CI7" s="250">
        <v>630000</v>
      </c>
      <c r="CJ7" s="628"/>
      <c r="CK7" s="628">
        <v>709301.86573789816</v>
      </c>
      <c r="CL7" s="250">
        <v>709301.86573789816</v>
      </c>
      <c r="CM7" s="250">
        <v>376295</v>
      </c>
      <c r="CN7" s="250">
        <v>0</v>
      </c>
      <c r="CO7" s="628"/>
      <c r="CP7" s="628">
        <v>1715596.8657378983</v>
      </c>
      <c r="CQ7" s="635">
        <v>1715596.8657378983</v>
      </c>
      <c r="CR7" s="250">
        <v>17060.403786222709</v>
      </c>
      <c r="CS7" s="635">
        <v>1732657.269524121</v>
      </c>
    </row>
    <row r="8" spans="1:97" x14ac:dyDescent="0.2">
      <c r="A8" s="251">
        <v>7025</v>
      </c>
      <c r="B8" s="251" t="s">
        <v>294</v>
      </c>
      <c r="D8" s="251">
        <v>79</v>
      </c>
      <c r="E8" s="251">
        <v>5</v>
      </c>
      <c r="F8" s="251">
        <v>84</v>
      </c>
      <c r="J8" s="265"/>
      <c r="K8" s="265"/>
      <c r="L8" s="265"/>
      <c r="M8" s="265"/>
      <c r="P8" s="265"/>
      <c r="Q8" s="265"/>
      <c r="R8" s="265"/>
      <c r="S8" s="265"/>
      <c r="V8" s="265"/>
      <c r="W8" s="265"/>
      <c r="X8" s="265"/>
      <c r="Y8" s="265"/>
      <c r="AM8" s="251">
        <v>1</v>
      </c>
      <c r="AN8" s="251">
        <v>57</v>
      </c>
      <c r="AO8" s="251">
        <v>19</v>
      </c>
      <c r="AP8" s="251">
        <v>2</v>
      </c>
      <c r="AR8" s="251">
        <v>79</v>
      </c>
      <c r="BI8" s="251">
        <v>5</v>
      </c>
      <c r="BL8" s="251">
        <v>5</v>
      </c>
      <c r="BN8" s="251">
        <v>0</v>
      </c>
      <c r="BO8" s="251">
        <v>0</v>
      </c>
      <c r="BP8" s="251">
        <v>0</v>
      </c>
      <c r="BQ8" s="251">
        <v>0</v>
      </c>
      <c r="BR8" s="251">
        <v>0</v>
      </c>
      <c r="BS8" s="251">
        <v>0</v>
      </c>
      <c r="BT8" s="251">
        <v>0</v>
      </c>
      <c r="BU8" s="251">
        <v>0</v>
      </c>
      <c r="BV8" s="251">
        <v>0</v>
      </c>
      <c r="BW8" s="251">
        <v>0</v>
      </c>
      <c r="BX8" s="251">
        <v>0</v>
      </c>
      <c r="BY8" s="251">
        <v>0</v>
      </c>
      <c r="BZ8" s="251">
        <v>0</v>
      </c>
      <c r="CA8" s="251">
        <v>1</v>
      </c>
      <c r="CB8" s="251">
        <v>57</v>
      </c>
      <c r="CC8" s="251">
        <v>24</v>
      </c>
      <c r="CD8" s="251">
        <v>2</v>
      </c>
      <c r="CE8" s="251">
        <v>0</v>
      </c>
      <c r="CF8" s="251">
        <v>84</v>
      </c>
      <c r="CI8" s="250">
        <v>840000</v>
      </c>
      <c r="CJ8" s="628"/>
      <c r="CK8" s="628">
        <v>393837.29720891081</v>
      </c>
      <c r="CL8" s="250">
        <v>393837.29720891081</v>
      </c>
      <c r="CM8" s="250">
        <v>0</v>
      </c>
      <c r="CN8" s="250">
        <v>0</v>
      </c>
      <c r="CO8" s="628"/>
      <c r="CP8" s="628">
        <v>1233837.2972089108</v>
      </c>
      <c r="CQ8" s="635">
        <v>1233837.2972089108</v>
      </c>
      <c r="CR8" s="250">
        <v>26187.471024618721</v>
      </c>
      <c r="CS8" s="635">
        <v>1260024.7682335295</v>
      </c>
    </row>
    <row r="9" spans="1:97" x14ac:dyDescent="0.2">
      <c r="A9" s="251">
        <v>7024</v>
      </c>
      <c r="B9" s="251" t="s">
        <v>295</v>
      </c>
      <c r="D9" s="251">
        <v>94</v>
      </c>
      <c r="F9" s="251">
        <v>94</v>
      </c>
      <c r="J9" s="265"/>
      <c r="K9" s="265"/>
      <c r="L9" s="265"/>
      <c r="M9" s="265"/>
      <c r="P9" s="265"/>
      <c r="Q9" s="265"/>
      <c r="R9" s="265"/>
      <c r="S9" s="265"/>
      <c r="V9" s="265"/>
      <c r="W9" s="265"/>
      <c r="X9" s="265"/>
      <c r="Y9" s="265"/>
      <c r="AC9" s="251">
        <v>42</v>
      </c>
      <c r="AD9" s="251">
        <v>50</v>
      </c>
      <c r="AE9" s="251">
        <v>2</v>
      </c>
      <c r="AR9" s="251">
        <v>94</v>
      </c>
      <c r="BL9" s="251">
        <v>0</v>
      </c>
      <c r="BN9" s="251">
        <v>0</v>
      </c>
      <c r="BO9" s="251">
        <v>0</v>
      </c>
      <c r="BP9" s="251">
        <v>0</v>
      </c>
      <c r="BQ9" s="251">
        <v>42</v>
      </c>
      <c r="BR9" s="251">
        <v>50</v>
      </c>
      <c r="BS9" s="251">
        <v>2</v>
      </c>
      <c r="BT9" s="251">
        <v>0</v>
      </c>
      <c r="BU9" s="251">
        <v>0</v>
      </c>
      <c r="BV9" s="251">
        <v>0</v>
      </c>
      <c r="BW9" s="251">
        <v>0</v>
      </c>
      <c r="BX9" s="251">
        <v>0</v>
      </c>
      <c r="BY9" s="251">
        <v>0</v>
      </c>
      <c r="BZ9" s="251">
        <v>0</v>
      </c>
      <c r="CA9" s="251">
        <v>0</v>
      </c>
      <c r="CB9" s="251">
        <v>0</v>
      </c>
      <c r="CC9" s="251">
        <v>0</v>
      </c>
      <c r="CD9" s="251">
        <v>0</v>
      </c>
      <c r="CE9" s="251">
        <v>0</v>
      </c>
      <c r="CF9" s="251">
        <v>94</v>
      </c>
      <c r="CI9" s="250">
        <v>940000</v>
      </c>
      <c r="CJ9" s="628"/>
      <c r="CK9" s="628">
        <v>977409.97995603585</v>
      </c>
      <c r="CL9" s="250">
        <v>977409.97995603585</v>
      </c>
      <c r="CM9" s="250">
        <v>0</v>
      </c>
      <c r="CN9" s="250">
        <v>0</v>
      </c>
      <c r="CO9" s="628"/>
      <c r="CP9" s="628">
        <v>1917409.979956036</v>
      </c>
      <c r="CQ9" s="635">
        <v>1917409.979956036</v>
      </c>
      <c r="CR9" s="250">
        <v>0</v>
      </c>
      <c r="CS9" s="635">
        <v>1917409.979956036</v>
      </c>
    </row>
    <row r="10" spans="1:97" x14ac:dyDescent="0.2">
      <c r="A10" s="251">
        <v>7021</v>
      </c>
      <c r="B10" s="251" t="s">
        <v>296</v>
      </c>
      <c r="D10" s="251">
        <v>85</v>
      </c>
      <c r="E10" s="251">
        <v>2</v>
      </c>
      <c r="F10" s="251">
        <v>87</v>
      </c>
      <c r="J10" s="265"/>
      <c r="K10" s="265"/>
      <c r="L10" s="265"/>
      <c r="M10" s="265"/>
      <c r="P10" s="265"/>
      <c r="Q10" s="265"/>
      <c r="R10" s="265"/>
      <c r="S10" s="265"/>
      <c r="V10" s="265"/>
      <c r="W10" s="265"/>
      <c r="X10" s="265"/>
      <c r="Y10" s="265"/>
      <c r="AO10" s="251">
        <v>49</v>
      </c>
      <c r="AP10" s="251">
        <v>31</v>
      </c>
      <c r="AQ10" s="251">
        <v>5</v>
      </c>
      <c r="AR10" s="251">
        <v>85</v>
      </c>
      <c r="BH10" s="251">
        <v>2</v>
      </c>
      <c r="BL10" s="251">
        <v>2</v>
      </c>
      <c r="BN10" s="251">
        <v>0</v>
      </c>
      <c r="BO10" s="251">
        <v>0</v>
      </c>
      <c r="BP10" s="251">
        <v>0</v>
      </c>
      <c r="BQ10" s="251">
        <v>0</v>
      </c>
      <c r="BR10" s="251">
        <v>0</v>
      </c>
      <c r="BS10" s="251">
        <v>0</v>
      </c>
      <c r="BT10" s="251">
        <v>0</v>
      </c>
      <c r="BU10" s="251">
        <v>0</v>
      </c>
      <c r="BV10" s="251">
        <v>0</v>
      </c>
      <c r="BW10" s="251">
        <v>0</v>
      </c>
      <c r="BX10" s="251">
        <v>0</v>
      </c>
      <c r="BY10" s="251">
        <v>0</v>
      </c>
      <c r="BZ10" s="251">
        <v>0</v>
      </c>
      <c r="CA10" s="251">
        <v>0</v>
      </c>
      <c r="CB10" s="251">
        <v>2</v>
      </c>
      <c r="CC10" s="251">
        <v>49</v>
      </c>
      <c r="CD10" s="251">
        <v>31</v>
      </c>
      <c r="CE10" s="251">
        <v>5</v>
      </c>
      <c r="CF10" s="251">
        <v>87</v>
      </c>
      <c r="CI10" s="250">
        <v>870000</v>
      </c>
      <c r="CJ10" s="628"/>
      <c r="CK10" s="628">
        <v>847695.47737706976</v>
      </c>
      <c r="CL10" s="250">
        <v>847695.47737706976</v>
      </c>
      <c r="CM10" s="250">
        <v>0</v>
      </c>
      <c r="CN10" s="250">
        <v>80882</v>
      </c>
      <c r="CO10" s="628"/>
      <c r="CP10" s="628">
        <v>1798577.4773770696</v>
      </c>
      <c r="CQ10" s="635">
        <v>1798577.4773770696</v>
      </c>
      <c r="CR10" s="250">
        <v>13516.608475350802</v>
      </c>
      <c r="CS10" s="635">
        <v>1812094.0858524204</v>
      </c>
    </row>
    <row r="11" spans="1:97" x14ac:dyDescent="0.2">
      <c r="A11" s="251">
        <v>7029</v>
      </c>
      <c r="B11" s="251" t="s">
        <v>297</v>
      </c>
      <c r="D11" s="251">
        <v>80</v>
      </c>
      <c r="F11" s="251">
        <v>80</v>
      </c>
      <c r="J11" s="265"/>
      <c r="K11" s="265"/>
      <c r="L11" s="265"/>
      <c r="M11" s="265"/>
      <c r="P11" s="265"/>
      <c r="Q11" s="265"/>
      <c r="R11" s="265"/>
      <c r="S11" s="265"/>
      <c r="V11" s="265"/>
      <c r="W11" s="265"/>
      <c r="X11" s="265"/>
      <c r="Y11" s="265"/>
      <c r="AO11" s="251">
        <v>30</v>
      </c>
      <c r="AP11" s="251">
        <v>50</v>
      </c>
      <c r="AR11" s="251">
        <v>80</v>
      </c>
      <c r="BL11" s="251">
        <v>0</v>
      </c>
      <c r="BN11" s="251">
        <v>0</v>
      </c>
      <c r="BO11" s="251">
        <v>0</v>
      </c>
      <c r="BP11" s="251">
        <v>0</v>
      </c>
      <c r="BQ11" s="251">
        <v>0</v>
      </c>
      <c r="BR11" s="251">
        <v>0</v>
      </c>
      <c r="BS11" s="251">
        <v>0</v>
      </c>
      <c r="BT11" s="251">
        <v>0</v>
      </c>
      <c r="BU11" s="251">
        <v>0</v>
      </c>
      <c r="BV11" s="251">
        <v>0</v>
      </c>
      <c r="BW11" s="251">
        <v>0</v>
      </c>
      <c r="BX11" s="251">
        <v>0</v>
      </c>
      <c r="BY11" s="251">
        <v>0</v>
      </c>
      <c r="BZ11" s="251">
        <v>0</v>
      </c>
      <c r="CA11" s="251">
        <v>0</v>
      </c>
      <c r="CB11" s="251">
        <v>0</v>
      </c>
      <c r="CC11" s="251">
        <v>30</v>
      </c>
      <c r="CD11" s="251">
        <v>50</v>
      </c>
      <c r="CE11" s="251">
        <v>0</v>
      </c>
      <c r="CF11" s="251">
        <v>80</v>
      </c>
      <c r="CI11" s="250">
        <v>800000</v>
      </c>
      <c r="CJ11" s="628"/>
      <c r="CK11" s="628">
        <v>1418796.9636897566</v>
      </c>
      <c r="CL11" s="250">
        <v>1418796.9636897566</v>
      </c>
      <c r="CM11" s="250">
        <v>0</v>
      </c>
      <c r="CN11" s="250">
        <v>0</v>
      </c>
      <c r="CO11" s="628"/>
      <c r="CP11" s="628">
        <v>2218796.9636897566</v>
      </c>
      <c r="CQ11" s="635">
        <v>2218796.9636897566</v>
      </c>
      <c r="CR11" s="250">
        <v>0</v>
      </c>
      <c r="CS11" s="635">
        <v>2218796.9636897566</v>
      </c>
    </row>
    <row r="12" spans="1:97" x14ac:dyDescent="0.2">
      <c r="A12" s="251">
        <v>1103</v>
      </c>
      <c r="B12" s="251" t="s">
        <v>330</v>
      </c>
      <c r="C12" s="251">
        <v>36</v>
      </c>
      <c r="F12" s="251">
        <v>36</v>
      </c>
      <c r="J12" s="265"/>
      <c r="K12" s="265"/>
      <c r="L12" s="265"/>
      <c r="M12" s="265"/>
      <c r="P12" s="265"/>
      <c r="Q12" s="265"/>
      <c r="R12" s="265"/>
      <c r="S12" s="265"/>
      <c r="V12" s="265"/>
      <c r="W12" s="265"/>
      <c r="X12" s="265"/>
      <c r="Y12" s="265"/>
      <c r="AD12" s="251">
        <v>36</v>
      </c>
      <c r="AR12" s="251">
        <v>36</v>
      </c>
      <c r="BL12" s="251">
        <v>0</v>
      </c>
      <c r="BN12" s="251">
        <v>0</v>
      </c>
      <c r="BO12" s="251">
        <v>0</v>
      </c>
      <c r="BP12" s="251">
        <v>0</v>
      </c>
      <c r="BQ12" s="251">
        <v>0</v>
      </c>
      <c r="BR12" s="251">
        <v>36</v>
      </c>
      <c r="BS12" s="251">
        <v>0</v>
      </c>
      <c r="BT12" s="251">
        <v>0</v>
      </c>
      <c r="BU12" s="251">
        <v>0</v>
      </c>
      <c r="BV12" s="251">
        <v>0</v>
      </c>
      <c r="BW12" s="251">
        <v>0</v>
      </c>
      <c r="BX12" s="251">
        <v>0</v>
      </c>
      <c r="BY12" s="251">
        <v>0</v>
      </c>
      <c r="BZ12" s="251">
        <v>0</v>
      </c>
      <c r="CA12" s="251">
        <v>0</v>
      </c>
      <c r="CB12" s="251">
        <v>0</v>
      </c>
      <c r="CC12" s="251">
        <v>0</v>
      </c>
      <c r="CD12" s="251">
        <v>0</v>
      </c>
      <c r="CE12" s="251">
        <v>0</v>
      </c>
      <c r="CF12" s="251">
        <v>36</v>
      </c>
      <c r="CH12" s="250">
        <v>288000</v>
      </c>
      <c r="CJ12" s="628">
        <v>553000</v>
      </c>
      <c r="CK12" s="628"/>
      <c r="CL12" s="250">
        <v>553000</v>
      </c>
      <c r="CM12" s="250">
        <v>0</v>
      </c>
      <c r="CN12" s="250">
        <v>0</v>
      </c>
      <c r="CO12" s="628">
        <v>841000</v>
      </c>
      <c r="CP12" s="628"/>
      <c r="CQ12" s="635">
        <v>841000</v>
      </c>
      <c r="CR12" s="250">
        <v>0</v>
      </c>
      <c r="CS12" s="635">
        <v>841000</v>
      </c>
    </row>
    <row r="13" spans="1:97" x14ac:dyDescent="0.2">
      <c r="A13" s="251">
        <v>1104</v>
      </c>
      <c r="B13" s="251" t="s">
        <v>331</v>
      </c>
      <c r="C13" s="251">
        <v>60</v>
      </c>
      <c r="F13" s="251">
        <v>60</v>
      </c>
      <c r="J13" s="265"/>
      <c r="K13" s="265"/>
      <c r="L13" s="265"/>
      <c r="M13" s="265"/>
      <c r="P13" s="265"/>
      <c r="Q13" s="265"/>
      <c r="R13" s="265"/>
      <c r="S13" s="265"/>
      <c r="V13" s="265"/>
      <c r="W13" s="265"/>
      <c r="X13" s="265"/>
      <c r="Y13" s="265"/>
      <c r="AP13" s="251">
        <v>60</v>
      </c>
      <c r="AR13" s="251">
        <v>60</v>
      </c>
      <c r="BL13" s="251">
        <v>0</v>
      </c>
      <c r="BN13" s="251">
        <v>0</v>
      </c>
      <c r="BO13" s="251">
        <v>0</v>
      </c>
      <c r="BP13" s="251">
        <v>0</v>
      </c>
      <c r="BQ13" s="251">
        <v>0</v>
      </c>
      <c r="BR13" s="251">
        <v>0</v>
      </c>
      <c r="BS13" s="251">
        <v>0</v>
      </c>
      <c r="BT13" s="251">
        <v>0</v>
      </c>
      <c r="BU13" s="251">
        <v>0</v>
      </c>
      <c r="BV13" s="251">
        <v>0</v>
      </c>
      <c r="BW13" s="251">
        <v>0</v>
      </c>
      <c r="BX13" s="251">
        <v>0</v>
      </c>
      <c r="BY13" s="251">
        <v>0</v>
      </c>
      <c r="BZ13" s="251">
        <v>0</v>
      </c>
      <c r="CA13" s="251">
        <v>0</v>
      </c>
      <c r="CB13" s="251">
        <v>0</v>
      </c>
      <c r="CC13" s="251">
        <v>0</v>
      </c>
      <c r="CD13" s="251">
        <v>60</v>
      </c>
      <c r="CE13" s="251">
        <v>0</v>
      </c>
      <c r="CF13" s="251">
        <v>60</v>
      </c>
      <c r="CH13" s="250">
        <v>480000</v>
      </c>
      <c r="CJ13" s="628">
        <v>1053365</v>
      </c>
      <c r="CK13" s="628"/>
      <c r="CL13" s="250">
        <v>1053365</v>
      </c>
      <c r="CM13" s="250">
        <v>0</v>
      </c>
      <c r="CN13" s="250">
        <v>0</v>
      </c>
      <c r="CO13" s="628">
        <v>1533365</v>
      </c>
      <c r="CP13" s="628"/>
      <c r="CQ13" s="635">
        <v>1533365</v>
      </c>
      <c r="CR13" s="250">
        <v>0</v>
      </c>
      <c r="CS13" s="635">
        <v>1533365</v>
      </c>
    </row>
    <row r="14" spans="1:97" ht="13.5" thickBot="1" x14ac:dyDescent="0.25">
      <c r="A14" s="251" t="s">
        <v>178</v>
      </c>
      <c r="C14" s="266">
        <v>96</v>
      </c>
      <c r="D14" s="266">
        <v>464</v>
      </c>
      <c r="E14" s="266">
        <v>10</v>
      </c>
      <c r="F14" s="266">
        <v>570</v>
      </c>
      <c r="Z14" s="266">
        <v>0</v>
      </c>
      <c r="AA14" s="266">
        <v>0</v>
      </c>
      <c r="AB14" s="266">
        <v>0</v>
      </c>
      <c r="AC14" s="266">
        <v>42</v>
      </c>
      <c r="AD14" s="266">
        <v>103</v>
      </c>
      <c r="AE14" s="266">
        <v>3</v>
      </c>
      <c r="AF14" s="266">
        <v>0</v>
      </c>
      <c r="AG14" s="266">
        <v>0</v>
      </c>
      <c r="AH14" s="266">
        <v>0</v>
      </c>
      <c r="AI14" s="266">
        <v>4</v>
      </c>
      <c r="AJ14" s="266">
        <v>19</v>
      </c>
      <c r="AK14" s="266">
        <v>1</v>
      </c>
      <c r="AL14" s="266">
        <v>0</v>
      </c>
      <c r="AM14" s="266">
        <v>1</v>
      </c>
      <c r="AN14" s="266">
        <v>57</v>
      </c>
      <c r="AO14" s="266">
        <v>136</v>
      </c>
      <c r="AP14" s="266">
        <v>184</v>
      </c>
      <c r="AQ14" s="266">
        <v>10</v>
      </c>
      <c r="AR14" s="266">
        <v>560</v>
      </c>
      <c r="AT14" s="266">
        <v>0</v>
      </c>
      <c r="AU14" s="266">
        <v>0</v>
      </c>
      <c r="AV14" s="266">
        <v>0</v>
      </c>
      <c r="AW14" s="266">
        <v>0</v>
      </c>
      <c r="AX14" s="266">
        <v>0</v>
      </c>
      <c r="AY14" s="266">
        <v>0</v>
      </c>
      <c r="AZ14" s="266">
        <v>0</v>
      </c>
      <c r="BA14" s="266">
        <v>0</v>
      </c>
      <c r="BB14" s="266">
        <v>0</v>
      </c>
      <c r="BC14" s="266">
        <v>0</v>
      </c>
      <c r="BD14" s="266">
        <v>0</v>
      </c>
      <c r="BE14" s="266">
        <v>0</v>
      </c>
      <c r="BF14" s="266">
        <v>0</v>
      </c>
      <c r="BG14" s="266">
        <v>0</v>
      </c>
      <c r="BH14" s="266">
        <v>2</v>
      </c>
      <c r="BI14" s="266">
        <v>8</v>
      </c>
      <c r="BJ14" s="266">
        <v>0</v>
      </c>
      <c r="BK14" s="266">
        <v>0</v>
      </c>
      <c r="BL14" s="266">
        <v>10</v>
      </c>
      <c r="BN14" s="266">
        <v>0</v>
      </c>
      <c r="BO14" s="266">
        <v>0</v>
      </c>
      <c r="BP14" s="266">
        <v>0</v>
      </c>
      <c r="BQ14" s="266">
        <v>42</v>
      </c>
      <c r="BR14" s="266">
        <v>103</v>
      </c>
      <c r="BS14" s="266">
        <v>3</v>
      </c>
      <c r="BT14" s="266">
        <v>0</v>
      </c>
      <c r="BU14" s="266">
        <v>0</v>
      </c>
      <c r="BV14" s="266">
        <v>0</v>
      </c>
      <c r="BW14" s="266">
        <v>4</v>
      </c>
      <c r="BX14" s="266">
        <v>19</v>
      </c>
      <c r="BY14" s="266">
        <v>1</v>
      </c>
      <c r="BZ14" s="266">
        <v>0</v>
      </c>
      <c r="CA14" s="266">
        <v>1</v>
      </c>
      <c r="CB14" s="266">
        <v>59</v>
      </c>
      <c r="CC14" s="266">
        <v>144</v>
      </c>
      <c r="CD14" s="266">
        <v>184</v>
      </c>
      <c r="CE14" s="266">
        <v>10</v>
      </c>
      <c r="CF14" s="266">
        <v>570</v>
      </c>
      <c r="CH14" s="267">
        <v>768000</v>
      </c>
      <c r="CI14" s="267">
        <v>4740000</v>
      </c>
      <c r="CJ14" s="631">
        <v>1606365</v>
      </c>
      <c r="CK14" s="631">
        <v>5425464.4220579751</v>
      </c>
      <c r="CL14" s="267">
        <v>7031829.4220579751</v>
      </c>
      <c r="CM14" s="267">
        <v>376295</v>
      </c>
      <c r="CN14" s="267">
        <v>80882</v>
      </c>
      <c r="CO14" s="631">
        <v>2374365</v>
      </c>
      <c r="CP14" s="631">
        <v>10622641.422057975</v>
      </c>
      <c r="CQ14" s="637">
        <v>12997006.422057975</v>
      </c>
      <c r="CR14" s="267">
        <v>67018.967914891153</v>
      </c>
      <c r="CS14" s="637">
        <v>13064025.389972866</v>
      </c>
    </row>
    <row r="15" spans="1:97" x14ac:dyDescent="0.2">
      <c r="CJ15" s="628"/>
      <c r="CK15" s="628"/>
      <c r="CO15" s="628"/>
      <c r="CP15" s="628"/>
      <c r="CQ15" s="635"/>
      <c r="CS15" s="635"/>
    </row>
    <row r="16" spans="1:97" x14ac:dyDescent="0.2">
      <c r="CJ16" s="628"/>
      <c r="CK16" s="628"/>
      <c r="CO16" s="628"/>
      <c r="CP16" s="628"/>
      <c r="CQ16" s="635"/>
      <c r="CS16" s="635"/>
    </row>
    <row r="17" spans="1:98" ht="30" x14ac:dyDescent="0.25">
      <c r="B17" s="257" t="s">
        <v>324</v>
      </c>
      <c r="C17" s="257"/>
      <c r="H17" s="261" t="s">
        <v>304</v>
      </c>
      <c r="I17" s="261" t="s">
        <v>305</v>
      </c>
      <c r="J17" s="261" t="s">
        <v>306</v>
      </c>
      <c r="K17" s="261" t="s">
        <v>307</v>
      </c>
      <c r="L17" s="261" t="s">
        <v>308</v>
      </c>
      <c r="M17" s="261" t="s">
        <v>309</v>
      </c>
      <c r="N17" s="261" t="s">
        <v>304</v>
      </c>
      <c r="O17" s="261" t="s">
        <v>305</v>
      </c>
      <c r="P17" s="261" t="s">
        <v>306</v>
      </c>
      <c r="Q17" s="261" t="s">
        <v>307</v>
      </c>
      <c r="R17" s="261" t="s">
        <v>308</v>
      </c>
      <c r="S17" s="261" t="s">
        <v>309</v>
      </c>
      <c r="T17" s="261" t="s">
        <v>304</v>
      </c>
      <c r="U17" s="261" t="s">
        <v>305</v>
      </c>
      <c r="V17" s="261" t="s">
        <v>306</v>
      </c>
      <c r="W17" s="261" t="s">
        <v>307</v>
      </c>
      <c r="X17" s="261" t="s">
        <v>308</v>
      </c>
      <c r="Y17" s="261" t="s">
        <v>309</v>
      </c>
      <c r="Z17" s="261" t="s">
        <v>304</v>
      </c>
      <c r="AA17" s="261" t="s">
        <v>305</v>
      </c>
      <c r="AB17" s="261" t="s">
        <v>306</v>
      </c>
      <c r="AC17" s="261" t="s">
        <v>307</v>
      </c>
      <c r="AD17" s="261" t="s">
        <v>308</v>
      </c>
      <c r="AE17" s="261" t="s">
        <v>309</v>
      </c>
      <c r="AF17" s="261" t="s">
        <v>304</v>
      </c>
      <c r="AG17" s="261" t="s">
        <v>305</v>
      </c>
      <c r="AH17" s="261" t="s">
        <v>306</v>
      </c>
      <c r="AI17" s="261" t="s">
        <v>307</v>
      </c>
      <c r="AJ17" s="261" t="s">
        <v>308</v>
      </c>
      <c r="AK17" s="261" t="s">
        <v>309</v>
      </c>
      <c r="AL17" s="261" t="s">
        <v>304</v>
      </c>
      <c r="AM17" s="261" t="s">
        <v>305</v>
      </c>
      <c r="AN17" s="261" t="s">
        <v>306</v>
      </c>
      <c r="AO17" s="261" t="s">
        <v>307</v>
      </c>
      <c r="AP17" s="261" t="s">
        <v>308</v>
      </c>
      <c r="AQ17" s="261" t="s">
        <v>309</v>
      </c>
      <c r="AR17" s="261" t="s">
        <v>291</v>
      </c>
      <c r="AT17" s="261" t="s">
        <v>304</v>
      </c>
      <c r="AU17" s="261" t="s">
        <v>305</v>
      </c>
      <c r="AV17" s="261" t="s">
        <v>306</v>
      </c>
      <c r="AW17" s="261" t="s">
        <v>307</v>
      </c>
      <c r="AX17" s="261" t="s">
        <v>308</v>
      </c>
      <c r="AY17" s="261" t="s">
        <v>309</v>
      </c>
      <c r="AZ17" s="261" t="s">
        <v>304</v>
      </c>
      <c r="BA17" s="261" t="s">
        <v>305</v>
      </c>
      <c r="BB17" s="261" t="s">
        <v>306</v>
      </c>
      <c r="BC17" s="261" t="s">
        <v>307</v>
      </c>
      <c r="BD17" s="261" t="s">
        <v>308</v>
      </c>
      <c r="BE17" s="261" t="s">
        <v>309</v>
      </c>
      <c r="BF17" s="261" t="s">
        <v>304</v>
      </c>
      <c r="BG17" s="261" t="s">
        <v>305</v>
      </c>
      <c r="BH17" s="261" t="s">
        <v>306</v>
      </c>
      <c r="BI17" s="261" t="s">
        <v>307</v>
      </c>
      <c r="BJ17" s="261" t="s">
        <v>308</v>
      </c>
      <c r="BK17" s="261" t="s">
        <v>309</v>
      </c>
      <c r="BL17" s="261" t="s">
        <v>291</v>
      </c>
      <c r="BN17" s="261" t="s">
        <v>304</v>
      </c>
      <c r="BO17" s="261" t="s">
        <v>305</v>
      </c>
      <c r="BP17" s="261" t="s">
        <v>306</v>
      </c>
      <c r="BQ17" s="261" t="s">
        <v>307</v>
      </c>
      <c r="BR17" s="261" t="s">
        <v>308</v>
      </c>
      <c r="BS17" s="261" t="s">
        <v>309</v>
      </c>
      <c r="BT17" s="261" t="s">
        <v>304</v>
      </c>
      <c r="BU17" s="261" t="s">
        <v>305</v>
      </c>
      <c r="BV17" s="261" t="s">
        <v>306</v>
      </c>
      <c r="BW17" s="261" t="s">
        <v>307</v>
      </c>
      <c r="BX17" s="261" t="s">
        <v>308</v>
      </c>
      <c r="BY17" s="261" t="s">
        <v>309</v>
      </c>
      <c r="BZ17" s="261" t="s">
        <v>304</v>
      </c>
      <c r="CA17" s="261" t="s">
        <v>305</v>
      </c>
      <c r="CB17" s="261" t="s">
        <v>306</v>
      </c>
      <c r="CC17" s="261" t="s">
        <v>307</v>
      </c>
      <c r="CD17" s="261" t="s">
        <v>308</v>
      </c>
      <c r="CE17" s="261" t="s">
        <v>309</v>
      </c>
      <c r="CF17" s="261" t="s">
        <v>291</v>
      </c>
      <c r="CH17" s="262" t="s">
        <v>310</v>
      </c>
      <c r="CI17" s="262" t="s">
        <v>310</v>
      </c>
      <c r="CJ17" s="629" t="s">
        <v>314</v>
      </c>
      <c r="CK17" s="629" t="s">
        <v>314</v>
      </c>
      <c r="CL17" s="262" t="s">
        <v>311</v>
      </c>
      <c r="CM17" s="262" t="s">
        <v>312</v>
      </c>
      <c r="CN17" s="262" t="s">
        <v>313</v>
      </c>
      <c r="CO17" s="629" t="s">
        <v>314</v>
      </c>
      <c r="CP17" s="629" t="s">
        <v>314</v>
      </c>
      <c r="CQ17" s="636" t="s">
        <v>314</v>
      </c>
      <c r="CR17" s="262" t="s">
        <v>315</v>
      </c>
      <c r="CS17" s="636" t="s">
        <v>316</v>
      </c>
    </row>
    <row r="18" spans="1:98" ht="15" x14ac:dyDescent="0.25">
      <c r="C18" s="263" t="s">
        <v>325</v>
      </c>
      <c r="D18" s="263" t="s">
        <v>325</v>
      </c>
      <c r="E18" s="263" t="s">
        <v>326</v>
      </c>
      <c r="F18" s="263" t="s">
        <v>291</v>
      </c>
      <c r="H18" s="261" t="s">
        <v>320</v>
      </c>
      <c r="I18" s="261" t="s">
        <v>320</v>
      </c>
      <c r="J18" s="261" t="s">
        <v>320</v>
      </c>
      <c r="K18" s="261" t="s">
        <v>320</v>
      </c>
      <c r="L18" s="261" t="s">
        <v>320</v>
      </c>
      <c r="M18" s="261" t="s">
        <v>320</v>
      </c>
      <c r="N18" s="261" t="s">
        <v>321</v>
      </c>
      <c r="O18" s="261" t="s">
        <v>321</v>
      </c>
      <c r="P18" s="261" t="s">
        <v>321</v>
      </c>
      <c r="Q18" s="261" t="s">
        <v>321</v>
      </c>
      <c r="R18" s="261" t="s">
        <v>321</v>
      </c>
      <c r="S18" s="261" t="s">
        <v>321</v>
      </c>
      <c r="T18" s="261" t="s">
        <v>322</v>
      </c>
      <c r="U18" s="261" t="s">
        <v>322</v>
      </c>
      <c r="V18" s="261" t="s">
        <v>322</v>
      </c>
      <c r="W18" s="261" t="s">
        <v>322</v>
      </c>
      <c r="X18" s="261" t="s">
        <v>322</v>
      </c>
      <c r="Y18" s="261" t="s">
        <v>322</v>
      </c>
      <c r="Z18" s="261" t="s">
        <v>320</v>
      </c>
      <c r="AA18" s="261" t="s">
        <v>320</v>
      </c>
      <c r="AB18" s="261" t="s">
        <v>320</v>
      </c>
      <c r="AC18" s="261" t="s">
        <v>320</v>
      </c>
      <c r="AD18" s="261" t="s">
        <v>320</v>
      </c>
      <c r="AE18" s="261" t="s">
        <v>320</v>
      </c>
      <c r="AF18" s="261" t="s">
        <v>321</v>
      </c>
      <c r="AG18" s="261" t="s">
        <v>321</v>
      </c>
      <c r="AH18" s="261" t="s">
        <v>321</v>
      </c>
      <c r="AI18" s="261" t="s">
        <v>321</v>
      </c>
      <c r="AJ18" s="261" t="s">
        <v>321</v>
      </c>
      <c r="AK18" s="261" t="s">
        <v>321</v>
      </c>
      <c r="AL18" s="261" t="s">
        <v>322</v>
      </c>
      <c r="AM18" s="261" t="s">
        <v>322</v>
      </c>
      <c r="AN18" s="261" t="s">
        <v>322</v>
      </c>
      <c r="AO18" s="261" t="s">
        <v>322</v>
      </c>
      <c r="AP18" s="261" t="s">
        <v>322</v>
      </c>
      <c r="AQ18" s="261" t="s">
        <v>322</v>
      </c>
      <c r="AT18" s="261" t="s">
        <v>320</v>
      </c>
      <c r="AU18" s="261" t="s">
        <v>320</v>
      </c>
      <c r="AV18" s="261" t="s">
        <v>320</v>
      </c>
      <c r="AW18" s="261" t="s">
        <v>320</v>
      </c>
      <c r="AX18" s="261" t="s">
        <v>320</v>
      </c>
      <c r="AY18" s="261" t="s">
        <v>320</v>
      </c>
      <c r="AZ18" s="261" t="s">
        <v>321</v>
      </c>
      <c r="BA18" s="261" t="s">
        <v>321</v>
      </c>
      <c r="BB18" s="261" t="s">
        <v>321</v>
      </c>
      <c r="BC18" s="261" t="s">
        <v>321</v>
      </c>
      <c r="BD18" s="261" t="s">
        <v>321</v>
      </c>
      <c r="BE18" s="261" t="s">
        <v>321</v>
      </c>
      <c r="BF18" s="261" t="s">
        <v>322</v>
      </c>
      <c r="BG18" s="261" t="s">
        <v>322</v>
      </c>
      <c r="BH18" s="261" t="s">
        <v>322</v>
      </c>
      <c r="BI18" s="261" t="s">
        <v>322</v>
      </c>
      <c r="BJ18" s="261" t="s">
        <v>322</v>
      </c>
      <c r="BK18" s="261" t="s">
        <v>322</v>
      </c>
      <c r="BN18" s="261" t="s">
        <v>320</v>
      </c>
      <c r="BO18" s="261" t="s">
        <v>320</v>
      </c>
      <c r="BP18" s="261" t="s">
        <v>320</v>
      </c>
      <c r="BQ18" s="261" t="s">
        <v>320</v>
      </c>
      <c r="BR18" s="261" t="s">
        <v>320</v>
      </c>
      <c r="BS18" s="261" t="s">
        <v>320</v>
      </c>
      <c r="BT18" s="261" t="s">
        <v>321</v>
      </c>
      <c r="BU18" s="261" t="s">
        <v>321</v>
      </c>
      <c r="BV18" s="261" t="s">
        <v>321</v>
      </c>
      <c r="BW18" s="261" t="s">
        <v>321</v>
      </c>
      <c r="BX18" s="261" t="s">
        <v>321</v>
      </c>
      <c r="BY18" s="261" t="s">
        <v>321</v>
      </c>
      <c r="BZ18" s="261" t="s">
        <v>322</v>
      </c>
      <c r="CA18" s="261" t="s">
        <v>322</v>
      </c>
      <c r="CB18" s="261" t="s">
        <v>322</v>
      </c>
      <c r="CC18" s="261" t="s">
        <v>322</v>
      </c>
      <c r="CD18" s="261" t="s">
        <v>322</v>
      </c>
      <c r="CE18" s="261" t="s">
        <v>322</v>
      </c>
      <c r="CJ18" s="628"/>
      <c r="CK18" s="628"/>
      <c r="CO18" s="628"/>
      <c r="CP18" s="628"/>
      <c r="CQ18" s="635"/>
      <c r="CS18" s="635"/>
    </row>
    <row r="19" spans="1:98" ht="15" x14ac:dyDescent="0.25">
      <c r="C19" s="263" t="s">
        <v>869</v>
      </c>
      <c r="D19" s="263" t="s">
        <v>871</v>
      </c>
      <c r="E19" s="263"/>
      <c r="F19" s="263"/>
      <c r="H19" s="264" t="s">
        <v>323</v>
      </c>
      <c r="I19" s="264" t="s">
        <v>323</v>
      </c>
      <c r="J19" s="264" t="s">
        <v>323</v>
      </c>
      <c r="K19" s="264" t="s">
        <v>323</v>
      </c>
      <c r="L19" s="264" t="s">
        <v>323</v>
      </c>
      <c r="M19" s="264" t="s">
        <v>323</v>
      </c>
      <c r="N19" s="264" t="s">
        <v>323</v>
      </c>
      <c r="O19" s="264" t="s">
        <v>323</v>
      </c>
      <c r="P19" s="264" t="s">
        <v>323</v>
      </c>
      <c r="Q19" s="264" t="s">
        <v>323</v>
      </c>
      <c r="R19" s="264" t="s">
        <v>323</v>
      </c>
      <c r="S19" s="264" t="s">
        <v>323</v>
      </c>
      <c r="T19" s="264" t="s">
        <v>323</v>
      </c>
      <c r="U19" s="264" t="s">
        <v>323</v>
      </c>
      <c r="V19" s="264" t="s">
        <v>323</v>
      </c>
      <c r="W19" s="264" t="s">
        <v>323</v>
      </c>
      <c r="X19" s="264" t="s">
        <v>323</v>
      </c>
      <c r="Y19" s="264" t="s">
        <v>323</v>
      </c>
      <c r="CJ19" s="628"/>
      <c r="CK19" s="628"/>
      <c r="CO19" s="628"/>
      <c r="CP19" s="628"/>
      <c r="CQ19" s="635"/>
      <c r="CS19" s="635"/>
    </row>
    <row r="20" spans="1:98" x14ac:dyDescent="0.2">
      <c r="A20" s="251">
        <v>7026</v>
      </c>
      <c r="B20" s="251" t="s">
        <v>292</v>
      </c>
      <c r="D20" s="251">
        <v>13</v>
      </c>
      <c r="E20" s="251">
        <v>2</v>
      </c>
      <c r="F20" s="251">
        <v>15</v>
      </c>
      <c r="J20" s="265"/>
      <c r="K20" s="265"/>
      <c r="L20" s="265"/>
      <c r="M20" s="265"/>
      <c r="P20" s="265"/>
      <c r="Q20" s="265"/>
      <c r="R20" s="265"/>
      <c r="S20" s="265"/>
      <c r="AP20" s="251">
        <v>13</v>
      </c>
      <c r="AR20" s="251">
        <v>13</v>
      </c>
      <c r="BI20" s="251">
        <v>2</v>
      </c>
      <c r="BL20" s="251">
        <v>2</v>
      </c>
      <c r="BN20" s="251">
        <v>0</v>
      </c>
      <c r="BO20" s="251">
        <v>0</v>
      </c>
      <c r="BP20" s="251">
        <v>0</v>
      </c>
      <c r="BQ20" s="251">
        <v>0</v>
      </c>
      <c r="BR20" s="251">
        <v>0</v>
      </c>
      <c r="BS20" s="251">
        <v>0</v>
      </c>
      <c r="BT20" s="251">
        <v>0</v>
      </c>
      <c r="BU20" s="251">
        <v>0</v>
      </c>
      <c r="BV20" s="251">
        <v>0</v>
      </c>
      <c r="BW20" s="251">
        <v>0</v>
      </c>
      <c r="BX20" s="251">
        <v>0</v>
      </c>
      <c r="BY20" s="251">
        <v>0</v>
      </c>
      <c r="BZ20" s="251">
        <v>0</v>
      </c>
      <c r="CA20" s="251">
        <v>0</v>
      </c>
      <c r="CB20" s="251">
        <v>0</v>
      </c>
      <c r="CC20" s="251">
        <v>2</v>
      </c>
      <c r="CD20" s="251">
        <v>13</v>
      </c>
      <c r="CE20" s="251">
        <v>0</v>
      </c>
      <c r="CF20" s="251">
        <v>15</v>
      </c>
      <c r="CI20" s="250">
        <v>150000</v>
      </c>
      <c r="CJ20" s="628"/>
      <c r="CK20" s="628">
        <v>222033.97505871305</v>
      </c>
      <c r="CL20" s="250">
        <v>222033.97505871305</v>
      </c>
      <c r="CM20" s="250">
        <v>0</v>
      </c>
      <c r="CN20" s="250">
        <v>0</v>
      </c>
      <c r="CO20" s="628"/>
      <c r="CP20" s="628">
        <v>372033.97505871305</v>
      </c>
      <c r="CQ20" s="635">
        <v>372033.97505871305</v>
      </c>
      <c r="CR20" s="250">
        <v>22836.969257397843</v>
      </c>
      <c r="CS20" s="635">
        <v>394870.94431611092</v>
      </c>
    </row>
    <row r="21" spans="1:98" x14ac:dyDescent="0.2">
      <c r="A21" s="251">
        <v>7027</v>
      </c>
      <c r="B21" s="251" t="s">
        <v>293</v>
      </c>
      <c r="D21" s="251">
        <v>29</v>
      </c>
      <c r="E21" s="251">
        <v>4</v>
      </c>
      <c r="F21" s="251">
        <v>33</v>
      </c>
      <c r="J21" s="265"/>
      <c r="K21" s="265"/>
      <c r="L21" s="265"/>
      <c r="M21" s="265"/>
      <c r="P21" s="265"/>
      <c r="Q21" s="265"/>
      <c r="R21" s="265"/>
      <c r="S21" s="265"/>
      <c r="AO21" s="251">
        <v>9</v>
      </c>
      <c r="AP21" s="251">
        <v>20</v>
      </c>
      <c r="AR21" s="251">
        <v>29</v>
      </c>
      <c r="BI21" s="251">
        <v>4</v>
      </c>
      <c r="BL21" s="251">
        <v>4</v>
      </c>
      <c r="BN21" s="251">
        <v>0</v>
      </c>
      <c r="BO21" s="251">
        <v>0</v>
      </c>
      <c r="BP21" s="251">
        <v>0</v>
      </c>
      <c r="BQ21" s="251">
        <v>0</v>
      </c>
      <c r="BR21" s="251">
        <v>0</v>
      </c>
      <c r="BS21" s="251">
        <v>0</v>
      </c>
      <c r="BT21" s="251">
        <v>0</v>
      </c>
      <c r="BU21" s="251">
        <v>0</v>
      </c>
      <c r="BV21" s="251">
        <v>0</v>
      </c>
      <c r="BW21" s="251">
        <v>0</v>
      </c>
      <c r="BX21" s="251">
        <v>0</v>
      </c>
      <c r="BY21" s="251">
        <v>0</v>
      </c>
      <c r="BZ21" s="251">
        <v>0</v>
      </c>
      <c r="CA21" s="251">
        <v>0</v>
      </c>
      <c r="CB21" s="251">
        <v>0</v>
      </c>
      <c r="CC21" s="251">
        <v>13</v>
      </c>
      <c r="CD21" s="251">
        <v>20</v>
      </c>
      <c r="CE21" s="251">
        <v>0</v>
      </c>
      <c r="CF21" s="251">
        <v>33</v>
      </c>
      <c r="CI21" s="250">
        <v>330000</v>
      </c>
      <c r="CJ21" s="628"/>
      <c r="CK21" s="628">
        <v>360744.78089033964</v>
      </c>
      <c r="CL21" s="250">
        <v>360744.78089033964</v>
      </c>
      <c r="CM21" s="250">
        <v>0</v>
      </c>
      <c r="CN21" s="250">
        <v>0</v>
      </c>
      <c r="CO21" s="628"/>
      <c r="CP21" s="628">
        <v>690744.78089033964</v>
      </c>
      <c r="CQ21" s="635">
        <v>690744.78089033964</v>
      </c>
      <c r="CR21" s="250">
        <v>38776.807572445417</v>
      </c>
      <c r="CS21" s="635">
        <v>729521.588462785</v>
      </c>
    </row>
    <row r="22" spans="1:98" x14ac:dyDescent="0.2">
      <c r="A22" s="251">
        <v>7025</v>
      </c>
      <c r="B22" s="251" t="s">
        <v>294</v>
      </c>
      <c r="F22" s="251">
        <v>0</v>
      </c>
      <c r="J22" s="265"/>
      <c r="K22" s="265"/>
      <c r="L22" s="265"/>
      <c r="M22" s="265"/>
      <c r="P22" s="265"/>
      <c r="Q22" s="265"/>
      <c r="R22" s="265"/>
      <c r="S22" s="265"/>
      <c r="AR22" s="251">
        <v>0</v>
      </c>
      <c r="BL22" s="251">
        <v>0</v>
      </c>
      <c r="BN22" s="251">
        <v>0</v>
      </c>
      <c r="BO22" s="251">
        <v>0</v>
      </c>
      <c r="BP22" s="251">
        <v>0</v>
      </c>
      <c r="BQ22" s="251">
        <v>0</v>
      </c>
      <c r="BR22" s="251">
        <v>0</v>
      </c>
      <c r="BS22" s="251">
        <v>0</v>
      </c>
      <c r="BT22" s="251">
        <v>0</v>
      </c>
      <c r="BU22" s="251">
        <v>0</v>
      </c>
      <c r="BV22" s="251">
        <v>0</v>
      </c>
      <c r="BW22" s="251">
        <v>0</v>
      </c>
      <c r="BX22" s="251">
        <v>0</v>
      </c>
      <c r="BY22" s="251">
        <v>0</v>
      </c>
      <c r="BZ22" s="251">
        <v>0</v>
      </c>
      <c r="CA22" s="251">
        <v>0</v>
      </c>
      <c r="CB22" s="251">
        <v>0</v>
      </c>
      <c r="CC22" s="251">
        <v>0</v>
      </c>
      <c r="CD22" s="251">
        <v>0</v>
      </c>
      <c r="CE22" s="251">
        <v>0</v>
      </c>
      <c r="CF22" s="251">
        <v>0</v>
      </c>
      <c r="CI22" s="250">
        <v>0</v>
      </c>
      <c r="CJ22" s="628"/>
      <c r="CK22" s="628">
        <v>0</v>
      </c>
      <c r="CL22" s="250">
        <v>0</v>
      </c>
      <c r="CM22" s="250">
        <v>0</v>
      </c>
      <c r="CN22" s="250">
        <v>0</v>
      </c>
      <c r="CO22" s="628"/>
      <c r="CP22" s="628">
        <v>0</v>
      </c>
      <c r="CQ22" s="635">
        <v>0</v>
      </c>
      <c r="CR22" s="250">
        <v>0</v>
      </c>
      <c r="CS22" s="635">
        <v>0</v>
      </c>
    </row>
    <row r="23" spans="1:98" x14ac:dyDescent="0.2">
      <c r="A23" s="251">
        <v>7024</v>
      </c>
      <c r="B23" s="251" t="s">
        <v>295</v>
      </c>
      <c r="F23" s="251">
        <v>0</v>
      </c>
      <c r="J23" s="265"/>
      <c r="K23" s="265"/>
      <c r="L23" s="265"/>
      <c r="M23" s="265"/>
      <c r="P23" s="265"/>
      <c r="Q23" s="265"/>
      <c r="R23" s="265"/>
      <c r="S23" s="265"/>
      <c r="AR23" s="251">
        <v>0</v>
      </c>
      <c r="BL23" s="251">
        <v>0</v>
      </c>
      <c r="BN23" s="251">
        <v>0</v>
      </c>
      <c r="BO23" s="251">
        <v>0</v>
      </c>
      <c r="BP23" s="251">
        <v>0</v>
      </c>
      <c r="BQ23" s="251">
        <v>0</v>
      </c>
      <c r="BR23" s="251">
        <v>0</v>
      </c>
      <c r="BS23" s="251">
        <v>0</v>
      </c>
      <c r="BT23" s="251">
        <v>0</v>
      </c>
      <c r="BU23" s="251">
        <v>0</v>
      </c>
      <c r="BV23" s="251">
        <v>0</v>
      </c>
      <c r="BW23" s="251">
        <v>0</v>
      </c>
      <c r="BX23" s="251">
        <v>0</v>
      </c>
      <c r="BY23" s="251">
        <v>0</v>
      </c>
      <c r="BZ23" s="251">
        <v>0</v>
      </c>
      <c r="CA23" s="251">
        <v>0</v>
      </c>
      <c r="CB23" s="251">
        <v>0</v>
      </c>
      <c r="CC23" s="251">
        <v>0</v>
      </c>
      <c r="CD23" s="251">
        <v>0</v>
      </c>
      <c r="CE23" s="251">
        <v>0</v>
      </c>
      <c r="CF23" s="251">
        <v>0</v>
      </c>
      <c r="CI23" s="250">
        <v>0</v>
      </c>
      <c r="CJ23" s="628"/>
      <c r="CK23" s="628">
        <v>0</v>
      </c>
      <c r="CL23" s="250">
        <v>0</v>
      </c>
      <c r="CM23" s="250">
        <v>0</v>
      </c>
      <c r="CN23" s="250">
        <v>0</v>
      </c>
      <c r="CO23" s="628"/>
      <c r="CP23" s="628">
        <v>0</v>
      </c>
      <c r="CQ23" s="635">
        <v>0</v>
      </c>
      <c r="CR23" s="250">
        <v>0</v>
      </c>
      <c r="CS23" s="635">
        <v>0</v>
      </c>
    </row>
    <row r="24" spans="1:98" x14ac:dyDescent="0.2">
      <c r="A24" s="251">
        <v>7021</v>
      </c>
      <c r="B24" s="251" t="s">
        <v>296</v>
      </c>
      <c r="D24" s="251">
        <v>12</v>
      </c>
      <c r="F24" s="251">
        <v>12</v>
      </c>
      <c r="J24" s="265"/>
      <c r="K24" s="265"/>
      <c r="L24" s="265"/>
      <c r="M24" s="265"/>
      <c r="P24" s="265"/>
      <c r="Q24" s="265"/>
      <c r="R24" s="265"/>
      <c r="S24" s="265"/>
      <c r="AN24" s="251">
        <v>12</v>
      </c>
      <c r="AR24" s="251">
        <v>12</v>
      </c>
      <c r="BL24" s="251">
        <v>0</v>
      </c>
      <c r="BN24" s="251">
        <v>0</v>
      </c>
      <c r="BO24" s="251">
        <v>0</v>
      </c>
      <c r="BP24" s="251">
        <v>0</v>
      </c>
      <c r="BQ24" s="251">
        <v>0</v>
      </c>
      <c r="BR24" s="251">
        <v>0</v>
      </c>
      <c r="BS24" s="251">
        <v>0</v>
      </c>
      <c r="BT24" s="251">
        <v>0</v>
      </c>
      <c r="BU24" s="251">
        <v>0</v>
      </c>
      <c r="BV24" s="251">
        <v>0</v>
      </c>
      <c r="BW24" s="251">
        <v>0</v>
      </c>
      <c r="BX24" s="251">
        <v>0</v>
      </c>
      <c r="BY24" s="251">
        <v>0</v>
      </c>
      <c r="BZ24" s="251">
        <v>0</v>
      </c>
      <c r="CA24" s="251">
        <v>0</v>
      </c>
      <c r="CB24" s="251">
        <v>12</v>
      </c>
      <c r="CC24" s="251">
        <v>0</v>
      </c>
      <c r="CD24" s="251">
        <v>0</v>
      </c>
      <c r="CE24" s="251">
        <v>0</v>
      </c>
      <c r="CF24" s="251">
        <v>12</v>
      </c>
      <c r="CI24" s="250">
        <v>120000</v>
      </c>
      <c r="CJ24" s="628"/>
      <c r="CK24" s="628">
        <v>81099.650852104809</v>
      </c>
      <c r="CL24" s="250">
        <v>81099.650852104809</v>
      </c>
      <c r="CM24" s="250">
        <v>0</v>
      </c>
      <c r="CN24" s="250">
        <v>0</v>
      </c>
      <c r="CO24" s="628"/>
      <c r="CP24" s="628">
        <v>201099.65085210482</v>
      </c>
      <c r="CQ24" s="635">
        <v>201099.65085210482</v>
      </c>
      <c r="CR24" s="250">
        <v>0</v>
      </c>
      <c r="CS24" s="635">
        <v>201099.65085210482</v>
      </c>
      <c r="CT24" s="250"/>
    </row>
    <row r="25" spans="1:98" x14ac:dyDescent="0.2">
      <c r="A25" s="251">
        <v>7029</v>
      </c>
      <c r="B25" s="251" t="s">
        <v>297</v>
      </c>
      <c r="F25" s="251">
        <v>0</v>
      </c>
      <c r="J25" s="265"/>
      <c r="K25" s="265"/>
      <c r="L25" s="265"/>
      <c r="M25" s="265"/>
      <c r="P25" s="265"/>
      <c r="Q25" s="265"/>
      <c r="R25" s="265"/>
      <c r="S25" s="265"/>
      <c r="AR25" s="251">
        <v>0</v>
      </c>
      <c r="BL25" s="251">
        <v>0</v>
      </c>
      <c r="BN25" s="251">
        <v>0</v>
      </c>
      <c r="BO25" s="251">
        <v>0</v>
      </c>
      <c r="BP25" s="251">
        <v>0</v>
      </c>
      <c r="BQ25" s="251">
        <v>0</v>
      </c>
      <c r="BR25" s="251">
        <v>0</v>
      </c>
      <c r="BS25" s="251">
        <v>0</v>
      </c>
      <c r="BT25" s="251">
        <v>0</v>
      </c>
      <c r="BU25" s="251">
        <v>0</v>
      </c>
      <c r="BV25" s="251">
        <v>0</v>
      </c>
      <c r="BW25" s="251">
        <v>0</v>
      </c>
      <c r="BX25" s="251">
        <v>0</v>
      </c>
      <c r="BY25" s="251">
        <v>0</v>
      </c>
      <c r="BZ25" s="251">
        <v>0</v>
      </c>
      <c r="CA25" s="251">
        <v>0</v>
      </c>
      <c r="CB25" s="251">
        <v>0</v>
      </c>
      <c r="CC25" s="251">
        <v>0</v>
      </c>
      <c r="CD25" s="251">
        <v>0</v>
      </c>
      <c r="CE25" s="251">
        <v>0</v>
      </c>
      <c r="CF25" s="251">
        <v>0</v>
      </c>
      <c r="CI25" s="250">
        <v>0</v>
      </c>
      <c r="CJ25" s="628"/>
      <c r="CK25" s="628">
        <v>0</v>
      </c>
      <c r="CL25" s="250">
        <v>0</v>
      </c>
      <c r="CM25" s="250">
        <v>0</v>
      </c>
      <c r="CN25" s="250">
        <v>0</v>
      </c>
      <c r="CO25" s="628"/>
      <c r="CP25" s="628">
        <v>0</v>
      </c>
      <c r="CQ25" s="635">
        <v>0</v>
      </c>
      <c r="CR25" s="250">
        <v>0</v>
      </c>
      <c r="CS25" s="635">
        <v>0</v>
      </c>
    </row>
    <row r="26" spans="1:98" x14ac:dyDescent="0.2">
      <c r="A26" s="251">
        <v>1103</v>
      </c>
      <c r="B26" s="251" t="s">
        <v>330</v>
      </c>
      <c r="F26" s="251">
        <v>0</v>
      </c>
      <c r="J26" s="265"/>
      <c r="K26" s="265"/>
      <c r="L26" s="265"/>
      <c r="M26" s="265"/>
      <c r="P26" s="265"/>
      <c r="Q26" s="265"/>
      <c r="R26" s="265"/>
      <c r="S26" s="265"/>
      <c r="CH26" s="250">
        <v>0</v>
      </c>
      <c r="CJ26" s="628">
        <v>0</v>
      </c>
      <c r="CK26" s="628"/>
      <c r="CL26" s="250">
        <v>0</v>
      </c>
      <c r="CM26" s="250">
        <v>0</v>
      </c>
      <c r="CN26" s="250">
        <v>0</v>
      </c>
      <c r="CO26" s="628">
        <v>0</v>
      </c>
      <c r="CP26" s="628"/>
      <c r="CQ26" s="635">
        <v>0</v>
      </c>
      <c r="CS26" s="635">
        <v>0</v>
      </c>
    </row>
    <row r="27" spans="1:98" x14ac:dyDescent="0.2">
      <c r="A27" s="251">
        <v>1104</v>
      </c>
      <c r="B27" s="251" t="s">
        <v>331</v>
      </c>
      <c r="F27" s="251">
        <v>0</v>
      </c>
      <c r="J27" s="265"/>
      <c r="K27" s="265"/>
      <c r="L27" s="265"/>
      <c r="M27" s="265"/>
      <c r="P27" s="265"/>
      <c r="Q27" s="265"/>
      <c r="R27" s="265"/>
      <c r="S27" s="265"/>
      <c r="CH27" s="250">
        <v>0</v>
      </c>
      <c r="CJ27" s="628">
        <v>0</v>
      </c>
      <c r="CK27" s="628"/>
      <c r="CL27" s="250">
        <v>0</v>
      </c>
      <c r="CM27" s="250">
        <v>0</v>
      </c>
      <c r="CN27" s="250">
        <v>0</v>
      </c>
      <c r="CO27" s="628">
        <v>0</v>
      </c>
      <c r="CP27" s="628"/>
      <c r="CQ27" s="635">
        <v>0</v>
      </c>
      <c r="CS27" s="635">
        <v>0</v>
      </c>
    </row>
    <row r="28" spans="1:98" ht="13.5" thickBot="1" x14ac:dyDescent="0.25">
      <c r="A28" s="251" t="s">
        <v>178</v>
      </c>
      <c r="C28" s="266">
        <v>0</v>
      </c>
      <c r="D28" s="266">
        <v>54</v>
      </c>
      <c r="E28" s="266">
        <v>6</v>
      </c>
      <c r="F28" s="266">
        <v>60</v>
      </c>
      <c r="Z28" s="266">
        <v>0</v>
      </c>
      <c r="AA28" s="266">
        <v>0</v>
      </c>
      <c r="AB28" s="266">
        <v>0</v>
      </c>
      <c r="AC28" s="266">
        <v>0</v>
      </c>
      <c r="AD28" s="266">
        <v>0</v>
      </c>
      <c r="AE28" s="266">
        <v>0</v>
      </c>
      <c r="AF28" s="266">
        <v>0</v>
      </c>
      <c r="AG28" s="266">
        <v>0</v>
      </c>
      <c r="AH28" s="266">
        <v>0</v>
      </c>
      <c r="AI28" s="266">
        <v>0</v>
      </c>
      <c r="AJ28" s="266">
        <v>0</v>
      </c>
      <c r="AK28" s="266">
        <v>0</v>
      </c>
      <c r="AL28" s="266">
        <v>0</v>
      </c>
      <c r="AM28" s="266">
        <v>0</v>
      </c>
      <c r="AN28" s="266">
        <v>12</v>
      </c>
      <c r="AO28" s="266">
        <v>9</v>
      </c>
      <c r="AP28" s="266">
        <v>33</v>
      </c>
      <c r="AQ28" s="266">
        <v>0</v>
      </c>
      <c r="AR28" s="266">
        <v>54</v>
      </c>
      <c r="AT28" s="266">
        <v>0</v>
      </c>
      <c r="AU28" s="266">
        <v>0</v>
      </c>
      <c r="AV28" s="266">
        <v>0</v>
      </c>
      <c r="AW28" s="266">
        <v>0</v>
      </c>
      <c r="AX28" s="266">
        <v>0</v>
      </c>
      <c r="AY28" s="266">
        <v>0</v>
      </c>
      <c r="AZ28" s="266">
        <v>0</v>
      </c>
      <c r="BA28" s="266">
        <v>0</v>
      </c>
      <c r="BB28" s="266">
        <v>0</v>
      </c>
      <c r="BC28" s="266">
        <v>0</v>
      </c>
      <c r="BD28" s="266">
        <v>0</v>
      </c>
      <c r="BE28" s="266">
        <v>0</v>
      </c>
      <c r="BF28" s="266">
        <v>0</v>
      </c>
      <c r="BG28" s="266">
        <v>0</v>
      </c>
      <c r="BH28" s="266">
        <v>0</v>
      </c>
      <c r="BI28" s="266">
        <v>6</v>
      </c>
      <c r="BJ28" s="266">
        <v>0</v>
      </c>
      <c r="BK28" s="266">
        <v>0</v>
      </c>
      <c r="BL28" s="266">
        <v>6</v>
      </c>
      <c r="BN28" s="266">
        <v>0</v>
      </c>
      <c r="BO28" s="266">
        <v>0</v>
      </c>
      <c r="BP28" s="266">
        <v>0</v>
      </c>
      <c r="BQ28" s="266">
        <v>0</v>
      </c>
      <c r="BR28" s="266">
        <v>0</v>
      </c>
      <c r="BS28" s="266">
        <v>0</v>
      </c>
      <c r="BT28" s="266">
        <v>0</v>
      </c>
      <c r="BU28" s="266">
        <v>0</v>
      </c>
      <c r="BV28" s="266">
        <v>0</v>
      </c>
      <c r="BW28" s="266">
        <v>0</v>
      </c>
      <c r="BX28" s="266">
        <v>0</v>
      </c>
      <c r="BY28" s="266">
        <v>0</v>
      </c>
      <c r="BZ28" s="266">
        <v>0</v>
      </c>
      <c r="CA28" s="266">
        <v>0</v>
      </c>
      <c r="CB28" s="266">
        <v>12</v>
      </c>
      <c r="CC28" s="266">
        <v>15</v>
      </c>
      <c r="CD28" s="266">
        <v>33</v>
      </c>
      <c r="CE28" s="266">
        <v>0</v>
      </c>
      <c r="CF28" s="266">
        <v>60</v>
      </c>
      <c r="CH28" s="267">
        <v>0</v>
      </c>
      <c r="CI28" s="267">
        <v>600000</v>
      </c>
      <c r="CJ28" s="631">
        <v>0</v>
      </c>
      <c r="CK28" s="631">
        <v>663878.40680115751</v>
      </c>
      <c r="CL28" s="267">
        <v>663878.40680115751</v>
      </c>
      <c r="CM28" s="267">
        <v>0</v>
      </c>
      <c r="CN28" s="267">
        <v>0</v>
      </c>
      <c r="CO28" s="631">
        <v>0</v>
      </c>
      <c r="CP28" s="631">
        <v>1263878.4068011576</v>
      </c>
      <c r="CQ28" s="637">
        <v>1263878.4068011576</v>
      </c>
      <c r="CR28" s="267">
        <v>61613.776829843264</v>
      </c>
      <c r="CS28" s="637">
        <v>1325492.1836310008</v>
      </c>
    </row>
    <row r="29" spans="1:98" x14ac:dyDescent="0.2">
      <c r="CJ29" s="628"/>
      <c r="CK29" s="628"/>
      <c r="CO29" s="628"/>
      <c r="CP29" s="628"/>
      <c r="CQ29" s="635"/>
      <c r="CS29" s="635"/>
    </row>
    <row r="30" spans="1:98" ht="15.75" thickBot="1" x14ac:dyDescent="0.3">
      <c r="B30" s="257" t="s">
        <v>327</v>
      </c>
      <c r="C30" s="268">
        <v>96</v>
      </c>
      <c r="D30" s="268">
        <v>518</v>
      </c>
      <c r="E30" s="268">
        <v>16</v>
      </c>
      <c r="F30" s="268">
        <v>630</v>
      </c>
      <c r="Z30" s="268">
        <v>0</v>
      </c>
      <c r="AA30" s="268">
        <v>0</v>
      </c>
      <c r="AB30" s="268">
        <v>0</v>
      </c>
      <c r="AC30" s="268">
        <v>42</v>
      </c>
      <c r="AD30" s="268">
        <v>103</v>
      </c>
      <c r="AE30" s="268">
        <v>3</v>
      </c>
      <c r="AF30" s="268">
        <v>0</v>
      </c>
      <c r="AG30" s="268">
        <v>0</v>
      </c>
      <c r="AH30" s="268">
        <v>0</v>
      </c>
      <c r="AI30" s="268">
        <v>4</v>
      </c>
      <c r="AJ30" s="268">
        <v>19</v>
      </c>
      <c r="AK30" s="268">
        <v>1</v>
      </c>
      <c r="AL30" s="268">
        <v>0</v>
      </c>
      <c r="AM30" s="268">
        <v>1</v>
      </c>
      <c r="AN30" s="268">
        <v>69</v>
      </c>
      <c r="AO30" s="268">
        <v>145</v>
      </c>
      <c r="AP30" s="268">
        <v>217</v>
      </c>
      <c r="AQ30" s="268">
        <v>10</v>
      </c>
      <c r="AR30" s="268">
        <v>614</v>
      </c>
      <c r="AT30" s="268">
        <v>0</v>
      </c>
      <c r="AU30" s="268">
        <v>0</v>
      </c>
      <c r="AV30" s="268">
        <v>0</v>
      </c>
      <c r="AW30" s="268">
        <v>0</v>
      </c>
      <c r="AX30" s="268">
        <v>0</v>
      </c>
      <c r="AY30" s="268">
        <v>0</v>
      </c>
      <c r="AZ30" s="268">
        <v>0</v>
      </c>
      <c r="BA30" s="268">
        <v>0</v>
      </c>
      <c r="BB30" s="268">
        <v>0</v>
      </c>
      <c r="BC30" s="268">
        <v>0</v>
      </c>
      <c r="BD30" s="268">
        <v>0</v>
      </c>
      <c r="BE30" s="268">
        <v>0</v>
      </c>
      <c r="BF30" s="268">
        <v>0</v>
      </c>
      <c r="BG30" s="268">
        <v>0</v>
      </c>
      <c r="BH30" s="268">
        <v>2</v>
      </c>
      <c r="BI30" s="268">
        <v>14</v>
      </c>
      <c r="BJ30" s="268">
        <v>0</v>
      </c>
      <c r="BK30" s="268">
        <v>0</v>
      </c>
      <c r="BL30" s="268">
        <v>16</v>
      </c>
      <c r="BN30" s="268">
        <v>0</v>
      </c>
      <c r="BO30" s="268">
        <v>0</v>
      </c>
      <c r="BP30" s="268">
        <v>0</v>
      </c>
      <c r="BQ30" s="268">
        <v>42</v>
      </c>
      <c r="BR30" s="268">
        <v>103</v>
      </c>
      <c r="BS30" s="268">
        <v>3</v>
      </c>
      <c r="BT30" s="268">
        <v>0</v>
      </c>
      <c r="BU30" s="268">
        <v>0</v>
      </c>
      <c r="BV30" s="268">
        <v>0</v>
      </c>
      <c r="BW30" s="268">
        <v>4</v>
      </c>
      <c r="BX30" s="268">
        <v>19</v>
      </c>
      <c r="BY30" s="268">
        <v>1</v>
      </c>
      <c r="BZ30" s="268">
        <v>0</v>
      </c>
      <c r="CA30" s="268">
        <v>1</v>
      </c>
      <c r="CB30" s="268">
        <v>71</v>
      </c>
      <c r="CC30" s="268">
        <v>159</v>
      </c>
      <c r="CD30" s="268">
        <v>217</v>
      </c>
      <c r="CE30" s="268">
        <v>10</v>
      </c>
      <c r="CF30" s="268">
        <v>630</v>
      </c>
      <c r="CH30" s="627">
        <v>768000</v>
      </c>
      <c r="CI30" s="627">
        <v>5340000</v>
      </c>
      <c r="CJ30" s="632">
        <v>1606365</v>
      </c>
      <c r="CK30" s="632">
        <v>6089342.8288591327</v>
      </c>
      <c r="CL30" s="627">
        <v>7695707.8288591327</v>
      </c>
      <c r="CM30" s="627">
        <v>376295</v>
      </c>
      <c r="CN30" s="627">
        <v>80882</v>
      </c>
      <c r="CO30" s="632">
        <v>2374365</v>
      </c>
      <c r="CP30" s="632">
        <v>11886519.828859132</v>
      </c>
      <c r="CQ30" s="627">
        <v>14260884.828859132</v>
      </c>
      <c r="CR30" s="269">
        <v>128632.74474473442</v>
      </c>
      <c r="CS30" s="638">
        <v>14389517.573603867</v>
      </c>
    </row>
    <row r="31" spans="1:98" x14ac:dyDescent="0.2">
      <c r="CJ31" s="628"/>
      <c r="CK31" s="628"/>
      <c r="CO31" s="628"/>
      <c r="CP31" s="628"/>
      <c r="CQ31" s="635"/>
      <c r="CS31" s="635"/>
    </row>
    <row r="32" spans="1:98" x14ac:dyDescent="0.2">
      <c r="CJ32" s="628"/>
      <c r="CK32" s="628"/>
      <c r="CO32" s="628"/>
      <c r="CP32" s="628"/>
      <c r="CQ32" s="635"/>
      <c r="CS32" s="634"/>
    </row>
    <row r="33" spans="2:97" s="271" customFormat="1" ht="15" x14ac:dyDescent="0.25">
      <c r="B33" s="270" t="s">
        <v>291</v>
      </c>
      <c r="C33" s="270"/>
      <c r="H33" s="260"/>
      <c r="I33" s="260"/>
      <c r="J33" s="260"/>
      <c r="K33" s="260"/>
      <c r="L33" s="260"/>
      <c r="M33" s="260"/>
      <c r="N33" s="260"/>
      <c r="O33" s="260"/>
      <c r="P33" s="260"/>
      <c r="Q33" s="260"/>
      <c r="R33" s="260"/>
      <c r="S33" s="260"/>
      <c r="T33" s="260"/>
      <c r="U33" s="260"/>
      <c r="V33" s="260"/>
      <c r="W33" s="260"/>
      <c r="X33" s="260"/>
      <c r="Y33" s="260"/>
      <c r="CH33" s="260"/>
      <c r="CI33" s="260"/>
      <c r="CJ33" s="628"/>
      <c r="CK33" s="628"/>
      <c r="CL33" s="260"/>
      <c r="CM33" s="260"/>
      <c r="CN33" s="260"/>
      <c r="CO33" s="628"/>
      <c r="CP33" s="628"/>
      <c r="CQ33" s="635"/>
      <c r="CR33" s="260"/>
      <c r="CS33" s="635"/>
    </row>
    <row r="34" spans="2:97" s="271" customFormat="1" ht="15" x14ac:dyDescent="0.25">
      <c r="D34" s="272" t="s">
        <v>328</v>
      </c>
      <c r="E34" s="272" t="s">
        <v>329</v>
      </c>
      <c r="F34" s="272" t="s">
        <v>291</v>
      </c>
      <c r="H34" s="273" t="s">
        <v>320</v>
      </c>
      <c r="I34" s="273" t="s">
        <v>320</v>
      </c>
      <c r="J34" s="273" t="s">
        <v>320</v>
      </c>
      <c r="K34" s="273" t="s">
        <v>320</v>
      </c>
      <c r="L34" s="273" t="s">
        <v>320</v>
      </c>
      <c r="M34" s="273" t="s">
        <v>320</v>
      </c>
      <c r="N34" s="273" t="s">
        <v>321</v>
      </c>
      <c r="O34" s="273" t="s">
        <v>321</v>
      </c>
      <c r="P34" s="273" t="s">
        <v>321</v>
      </c>
      <c r="Q34" s="273" t="s">
        <v>321</v>
      </c>
      <c r="R34" s="273" t="s">
        <v>321</v>
      </c>
      <c r="S34" s="273" t="s">
        <v>321</v>
      </c>
      <c r="T34" s="273" t="s">
        <v>322</v>
      </c>
      <c r="U34" s="273" t="s">
        <v>322</v>
      </c>
      <c r="V34" s="273" t="s">
        <v>322</v>
      </c>
      <c r="W34" s="273" t="s">
        <v>322</v>
      </c>
      <c r="X34" s="273" t="s">
        <v>322</v>
      </c>
      <c r="Y34" s="273" t="s">
        <v>322</v>
      </c>
      <c r="Z34" s="273" t="s">
        <v>320</v>
      </c>
      <c r="AA34" s="273" t="s">
        <v>320</v>
      </c>
      <c r="AB34" s="273" t="s">
        <v>320</v>
      </c>
      <c r="AC34" s="273" t="s">
        <v>320</v>
      </c>
      <c r="AD34" s="273" t="s">
        <v>320</v>
      </c>
      <c r="AE34" s="273" t="s">
        <v>320</v>
      </c>
      <c r="AF34" s="273" t="s">
        <v>321</v>
      </c>
      <c r="AG34" s="273" t="s">
        <v>321</v>
      </c>
      <c r="AH34" s="273" t="s">
        <v>321</v>
      </c>
      <c r="AI34" s="273" t="s">
        <v>321</v>
      </c>
      <c r="AJ34" s="273" t="s">
        <v>321</v>
      </c>
      <c r="AK34" s="273" t="s">
        <v>321</v>
      </c>
      <c r="AL34" s="273" t="s">
        <v>322</v>
      </c>
      <c r="AM34" s="273" t="s">
        <v>322</v>
      </c>
      <c r="AN34" s="273" t="s">
        <v>322</v>
      </c>
      <c r="AO34" s="273" t="s">
        <v>322</v>
      </c>
      <c r="AP34" s="273" t="s">
        <v>322</v>
      </c>
      <c r="AQ34" s="273" t="s">
        <v>322</v>
      </c>
      <c r="AT34" s="273" t="s">
        <v>320</v>
      </c>
      <c r="AU34" s="273" t="s">
        <v>320</v>
      </c>
      <c r="AV34" s="273" t="s">
        <v>320</v>
      </c>
      <c r="AW34" s="273" t="s">
        <v>320</v>
      </c>
      <c r="AX34" s="273" t="s">
        <v>320</v>
      </c>
      <c r="AY34" s="273" t="s">
        <v>320</v>
      </c>
      <c r="AZ34" s="273" t="s">
        <v>321</v>
      </c>
      <c r="BA34" s="273" t="s">
        <v>321</v>
      </c>
      <c r="BB34" s="273" t="s">
        <v>321</v>
      </c>
      <c r="BC34" s="273" t="s">
        <v>321</v>
      </c>
      <c r="BD34" s="273" t="s">
        <v>321</v>
      </c>
      <c r="BE34" s="273" t="s">
        <v>321</v>
      </c>
      <c r="BF34" s="273" t="s">
        <v>322</v>
      </c>
      <c r="BG34" s="273" t="s">
        <v>322</v>
      </c>
      <c r="BH34" s="273" t="s">
        <v>322</v>
      </c>
      <c r="BI34" s="273" t="s">
        <v>322</v>
      </c>
      <c r="BJ34" s="273" t="s">
        <v>322</v>
      </c>
      <c r="BK34" s="273" t="s">
        <v>322</v>
      </c>
      <c r="BN34" s="273" t="s">
        <v>320</v>
      </c>
      <c r="BO34" s="273" t="s">
        <v>320</v>
      </c>
      <c r="BP34" s="273" t="s">
        <v>320</v>
      </c>
      <c r="BQ34" s="273" t="s">
        <v>320</v>
      </c>
      <c r="BR34" s="273" t="s">
        <v>320</v>
      </c>
      <c r="BS34" s="273" t="s">
        <v>320</v>
      </c>
      <c r="BT34" s="273" t="s">
        <v>321</v>
      </c>
      <c r="BU34" s="273" t="s">
        <v>321</v>
      </c>
      <c r="BV34" s="273" t="s">
        <v>321</v>
      </c>
      <c r="BW34" s="273" t="s">
        <v>321</v>
      </c>
      <c r="BX34" s="273" t="s">
        <v>321</v>
      </c>
      <c r="BY34" s="273" t="s">
        <v>321</v>
      </c>
      <c r="BZ34" s="273" t="s">
        <v>322</v>
      </c>
      <c r="CA34" s="273" t="s">
        <v>322</v>
      </c>
      <c r="CB34" s="273" t="s">
        <v>322</v>
      </c>
      <c r="CC34" s="273" t="s">
        <v>322</v>
      </c>
      <c r="CD34" s="273" t="s">
        <v>322</v>
      </c>
      <c r="CE34" s="273" t="s">
        <v>322</v>
      </c>
      <c r="CH34" s="260"/>
      <c r="CI34" s="260"/>
      <c r="CJ34" s="628"/>
      <c r="CK34" s="628"/>
      <c r="CL34" s="260"/>
      <c r="CM34" s="260"/>
      <c r="CN34" s="260"/>
      <c r="CO34" s="628"/>
      <c r="CP34" s="628"/>
      <c r="CQ34" s="635"/>
      <c r="CR34" s="260"/>
      <c r="CS34" s="635"/>
    </row>
    <row r="35" spans="2:97" s="271" customFormat="1" ht="15" x14ac:dyDescent="0.25">
      <c r="D35" s="272"/>
      <c r="E35" s="272"/>
      <c r="F35" s="272"/>
      <c r="H35" s="274" t="s">
        <v>323</v>
      </c>
      <c r="I35" s="274" t="s">
        <v>323</v>
      </c>
      <c r="J35" s="274" t="s">
        <v>323</v>
      </c>
      <c r="K35" s="274" t="s">
        <v>323</v>
      </c>
      <c r="L35" s="274" t="s">
        <v>323</v>
      </c>
      <c r="M35" s="274" t="s">
        <v>323</v>
      </c>
      <c r="N35" s="274" t="s">
        <v>323</v>
      </c>
      <c r="O35" s="274" t="s">
        <v>323</v>
      </c>
      <c r="P35" s="274" t="s">
        <v>323</v>
      </c>
      <c r="Q35" s="274" t="s">
        <v>323</v>
      </c>
      <c r="R35" s="274" t="s">
        <v>323</v>
      </c>
      <c r="S35" s="274" t="s">
        <v>323</v>
      </c>
      <c r="T35" s="274" t="s">
        <v>323</v>
      </c>
      <c r="U35" s="274" t="s">
        <v>323</v>
      </c>
      <c r="V35" s="274" t="s">
        <v>323</v>
      </c>
      <c r="W35" s="274" t="s">
        <v>323</v>
      </c>
      <c r="X35" s="274" t="s">
        <v>323</v>
      </c>
      <c r="Y35" s="274" t="s">
        <v>323</v>
      </c>
      <c r="CH35" s="260"/>
      <c r="CI35" s="260"/>
      <c r="CJ35" s="628"/>
      <c r="CK35" s="628"/>
      <c r="CL35" s="260"/>
      <c r="CM35" s="260"/>
      <c r="CN35" s="260"/>
      <c r="CO35" s="628"/>
      <c r="CP35" s="628"/>
      <c r="CQ35" s="635"/>
      <c r="CR35" s="260"/>
      <c r="CS35" s="635"/>
    </row>
    <row r="36" spans="2:97" s="271" customFormat="1" x14ac:dyDescent="0.2">
      <c r="B36" s="271" t="s">
        <v>292</v>
      </c>
      <c r="C36" s="271">
        <v>0</v>
      </c>
      <c r="D36" s="271">
        <v>78</v>
      </c>
      <c r="E36" s="271">
        <v>3</v>
      </c>
      <c r="F36" s="271">
        <v>81</v>
      </c>
      <c r="H36" s="260"/>
      <c r="I36" s="260"/>
      <c r="J36" s="275"/>
      <c r="K36" s="275"/>
      <c r="L36" s="275"/>
      <c r="M36" s="275"/>
      <c r="N36" s="260"/>
      <c r="O36" s="260"/>
      <c r="P36" s="275"/>
      <c r="Q36" s="275"/>
      <c r="R36" s="275"/>
      <c r="S36" s="275"/>
      <c r="T36" s="260"/>
      <c r="U36" s="260"/>
      <c r="V36" s="275"/>
      <c r="W36" s="275"/>
      <c r="X36" s="275"/>
      <c r="Y36" s="275"/>
      <c r="Z36" s="271">
        <v>0</v>
      </c>
      <c r="AA36" s="271">
        <v>0</v>
      </c>
      <c r="AB36" s="271">
        <v>0</v>
      </c>
      <c r="AC36" s="271">
        <v>0</v>
      </c>
      <c r="AD36" s="271">
        <v>17</v>
      </c>
      <c r="AE36" s="271">
        <v>1</v>
      </c>
      <c r="AF36" s="271">
        <v>0</v>
      </c>
      <c r="AG36" s="271">
        <v>0</v>
      </c>
      <c r="AH36" s="271">
        <v>0</v>
      </c>
      <c r="AI36" s="271">
        <v>4</v>
      </c>
      <c r="AJ36" s="271">
        <v>19</v>
      </c>
      <c r="AK36" s="271">
        <v>1</v>
      </c>
      <c r="AL36" s="271">
        <v>0</v>
      </c>
      <c r="AM36" s="271">
        <v>0</v>
      </c>
      <c r="AN36" s="271">
        <v>0</v>
      </c>
      <c r="AO36" s="271">
        <v>2</v>
      </c>
      <c r="AP36" s="271">
        <v>33</v>
      </c>
      <c r="AQ36" s="271">
        <v>1</v>
      </c>
      <c r="AR36" s="271">
        <v>78</v>
      </c>
      <c r="AT36" s="271">
        <v>0</v>
      </c>
      <c r="AU36" s="271">
        <v>0</v>
      </c>
      <c r="AV36" s="271">
        <v>0</v>
      </c>
      <c r="AW36" s="271">
        <v>0</v>
      </c>
      <c r="AX36" s="271">
        <v>0</v>
      </c>
      <c r="AY36" s="271">
        <v>0</v>
      </c>
      <c r="AZ36" s="271">
        <v>0</v>
      </c>
      <c r="BA36" s="271">
        <v>0</v>
      </c>
      <c r="BB36" s="271">
        <v>0</v>
      </c>
      <c r="BC36" s="271">
        <v>0</v>
      </c>
      <c r="BD36" s="271">
        <v>0</v>
      </c>
      <c r="BE36" s="271">
        <v>0</v>
      </c>
      <c r="BF36" s="271">
        <v>0</v>
      </c>
      <c r="BG36" s="271">
        <v>0</v>
      </c>
      <c r="BH36" s="271">
        <v>0</v>
      </c>
      <c r="BI36" s="271">
        <v>3</v>
      </c>
      <c r="BJ36" s="271">
        <v>0</v>
      </c>
      <c r="BK36" s="271">
        <v>0</v>
      </c>
      <c r="BL36" s="271">
        <v>3</v>
      </c>
      <c r="BN36" s="271">
        <v>0</v>
      </c>
      <c r="BO36" s="271">
        <v>0</v>
      </c>
      <c r="BP36" s="271">
        <v>0</v>
      </c>
      <c r="BQ36" s="271">
        <v>0</v>
      </c>
      <c r="BR36" s="271">
        <v>17</v>
      </c>
      <c r="BS36" s="271">
        <v>1</v>
      </c>
      <c r="BT36" s="271">
        <v>0</v>
      </c>
      <c r="BU36" s="271">
        <v>0</v>
      </c>
      <c r="BV36" s="271">
        <v>0</v>
      </c>
      <c r="BW36" s="271">
        <v>4</v>
      </c>
      <c r="BX36" s="271">
        <v>19</v>
      </c>
      <c r="BY36" s="271">
        <v>1</v>
      </c>
      <c r="BZ36" s="271">
        <v>0</v>
      </c>
      <c r="CA36" s="271">
        <v>0</v>
      </c>
      <c r="CB36" s="271">
        <v>0</v>
      </c>
      <c r="CC36" s="271">
        <v>5</v>
      </c>
      <c r="CD36" s="271">
        <v>33</v>
      </c>
      <c r="CE36" s="271">
        <v>1</v>
      </c>
      <c r="CF36" s="271">
        <v>81</v>
      </c>
      <c r="CH36" s="260">
        <v>0</v>
      </c>
      <c r="CI36" s="260">
        <v>810000</v>
      </c>
      <c r="CJ36" s="628"/>
      <c r="CK36" s="628">
        <v>810120</v>
      </c>
      <c r="CL36" s="260">
        <v>1300456.8131470175</v>
      </c>
      <c r="CM36" s="260">
        <v>0</v>
      </c>
      <c r="CN36" s="260">
        <v>0</v>
      </c>
      <c r="CO36" s="628"/>
      <c r="CP36" s="628">
        <v>2110456.8131470177</v>
      </c>
      <c r="CQ36" s="635">
        <v>2110456.8131470177</v>
      </c>
      <c r="CR36" s="260">
        <v>33091.453886096766</v>
      </c>
      <c r="CS36" s="635">
        <v>2143548.2670331146</v>
      </c>
    </row>
    <row r="37" spans="2:97" s="271" customFormat="1" x14ac:dyDescent="0.2">
      <c r="B37" s="271" t="s">
        <v>293</v>
      </c>
      <c r="C37" s="271">
        <v>0</v>
      </c>
      <c r="D37" s="271">
        <v>90</v>
      </c>
      <c r="E37" s="271">
        <v>6</v>
      </c>
      <c r="F37" s="271">
        <v>96</v>
      </c>
      <c r="H37" s="260"/>
      <c r="I37" s="260"/>
      <c r="J37" s="275"/>
      <c r="K37" s="275"/>
      <c r="L37" s="275"/>
      <c r="M37" s="275"/>
      <c r="N37" s="260"/>
      <c r="O37" s="260"/>
      <c r="P37" s="275"/>
      <c r="Q37" s="275"/>
      <c r="R37" s="275"/>
      <c r="S37" s="275"/>
      <c r="T37" s="260"/>
      <c r="U37" s="260"/>
      <c r="V37" s="275"/>
      <c r="W37" s="275"/>
      <c r="X37" s="275"/>
      <c r="Y37" s="275"/>
      <c r="Z37" s="271">
        <v>0</v>
      </c>
      <c r="AA37" s="271">
        <v>0</v>
      </c>
      <c r="AB37" s="271">
        <v>0</v>
      </c>
      <c r="AC37" s="271">
        <v>0</v>
      </c>
      <c r="AD37" s="271">
        <v>0</v>
      </c>
      <c r="AE37" s="271">
        <v>0</v>
      </c>
      <c r="AF37" s="271">
        <v>0</v>
      </c>
      <c r="AG37" s="271">
        <v>0</v>
      </c>
      <c r="AH37" s="271">
        <v>0</v>
      </c>
      <c r="AI37" s="271">
        <v>0</v>
      </c>
      <c r="AJ37" s="271">
        <v>0</v>
      </c>
      <c r="AK37" s="271">
        <v>0</v>
      </c>
      <c r="AL37" s="271">
        <v>0</v>
      </c>
      <c r="AM37" s="271">
        <v>0</v>
      </c>
      <c r="AN37" s="271">
        <v>0</v>
      </c>
      <c r="AO37" s="271">
        <v>45</v>
      </c>
      <c r="AP37" s="271">
        <v>41</v>
      </c>
      <c r="AQ37" s="271">
        <v>4</v>
      </c>
      <c r="AR37" s="271">
        <v>90</v>
      </c>
      <c r="AT37" s="271">
        <v>0</v>
      </c>
      <c r="AU37" s="271">
        <v>0</v>
      </c>
      <c r="AV37" s="271">
        <v>0</v>
      </c>
      <c r="AW37" s="271">
        <v>0</v>
      </c>
      <c r="AX37" s="271">
        <v>0</v>
      </c>
      <c r="AY37" s="271">
        <v>0</v>
      </c>
      <c r="AZ37" s="271">
        <v>0</v>
      </c>
      <c r="BA37" s="271">
        <v>0</v>
      </c>
      <c r="BB37" s="271">
        <v>0</v>
      </c>
      <c r="BC37" s="271">
        <v>0</v>
      </c>
      <c r="BD37" s="271">
        <v>0</v>
      </c>
      <c r="BE37" s="271">
        <v>0</v>
      </c>
      <c r="BF37" s="271">
        <v>0</v>
      </c>
      <c r="BG37" s="271">
        <v>0</v>
      </c>
      <c r="BH37" s="271">
        <v>0</v>
      </c>
      <c r="BI37" s="271">
        <v>6</v>
      </c>
      <c r="BJ37" s="271">
        <v>0</v>
      </c>
      <c r="BK37" s="271">
        <v>0</v>
      </c>
      <c r="BL37" s="271">
        <v>6</v>
      </c>
      <c r="BN37" s="271">
        <v>0</v>
      </c>
      <c r="BO37" s="271">
        <v>0</v>
      </c>
      <c r="BP37" s="271">
        <v>0</v>
      </c>
      <c r="BQ37" s="271">
        <v>0</v>
      </c>
      <c r="BR37" s="271">
        <v>0</v>
      </c>
      <c r="BS37" s="271">
        <v>0</v>
      </c>
      <c r="BT37" s="271">
        <v>0</v>
      </c>
      <c r="BU37" s="271">
        <v>0</v>
      </c>
      <c r="BV37" s="271">
        <v>0</v>
      </c>
      <c r="BW37" s="271">
        <v>0</v>
      </c>
      <c r="BX37" s="271">
        <v>0</v>
      </c>
      <c r="BY37" s="271">
        <v>0</v>
      </c>
      <c r="BZ37" s="271">
        <v>0</v>
      </c>
      <c r="CA37" s="271">
        <v>0</v>
      </c>
      <c r="CB37" s="271">
        <v>0</v>
      </c>
      <c r="CC37" s="271">
        <v>51</v>
      </c>
      <c r="CD37" s="271">
        <v>41</v>
      </c>
      <c r="CE37" s="271">
        <v>4</v>
      </c>
      <c r="CF37" s="271">
        <v>96</v>
      </c>
      <c r="CH37" s="260">
        <v>0</v>
      </c>
      <c r="CI37" s="260">
        <v>960000</v>
      </c>
      <c r="CJ37" s="628"/>
      <c r="CK37" s="628">
        <v>960192</v>
      </c>
      <c r="CL37" s="260">
        <v>1070046.6466282378</v>
      </c>
      <c r="CM37" s="260">
        <v>376295</v>
      </c>
      <c r="CN37" s="260">
        <v>0</v>
      </c>
      <c r="CO37" s="628"/>
      <c r="CP37" s="628">
        <v>2406341.6466282378</v>
      </c>
      <c r="CQ37" s="635">
        <v>2406341.6466282378</v>
      </c>
      <c r="CR37" s="260">
        <v>55837.211358668123</v>
      </c>
      <c r="CS37" s="635">
        <v>2462178.8579869061</v>
      </c>
    </row>
    <row r="38" spans="2:97" s="271" customFormat="1" x14ac:dyDescent="0.2">
      <c r="B38" s="271" t="s">
        <v>294</v>
      </c>
      <c r="C38" s="271">
        <v>0</v>
      </c>
      <c r="D38" s="271">
        <v>79</v>
      </c>
      <c r="E38" s="271">
        <v>5</v>
      </c>
      <c r="F38" s="271">
        <v>84</v>
      </c>
      <c r="H38" s="260"/>
      <c r="I38" s="260"/>
      <c r="J38" s="275"/>
      <c r="K38" s="275"/>
      <c r="L38" s="275"/>
      <c r="M38" s="275"/>
      <c r="N38" s="260"/>
      <c r="O38" s="260"/>
      <c r="P38" s="275"/>
      <c r="Q38" s="275"/>
      <c r="R38" s="275"/>
      <c r="S38" s="275"/>
      <c r="T38" s="260"/>
      <c r="U38" s="260"/>
      <c r="V38" s="275"/>
      <c r="W38" s="275"/>
      <c r="X38" s="275"/>
      <c r="Y38" s="275"/>
      <c r="Z38" s="271">
        <v>0</v>
      </c>
      <c r="AA38" s="271">
        <v>0</v>
      </c>
      <c r="AB38" s="271">
        <v>0</v>
      </c>
      <c r="AC38" s="271">
        <v>0</v>
      </c>
      <c r="AD38" s="271">
        <v>0</v>
      </c>
      <c r="AE38" s="271">
        <v>0</v>
      </c>
      <c r="AF38" s="271">
        <v>0</v>
      </c>
      <c r="AG38" s="271">
        <v>0</v>
      </c>
      <c r="AH38" s="271">
        <v>0</v>
      </c>
      <c r="AI38" s="271">
        <v>0</v>
      </c>
      <c r="AJ38" s="271">
        <v>0</v>
      </c>
      <c r="AK38" s="271">
        <v>0</v>
      </c>
      <c r="AL38" s="271">
        <v>0</v>
      </c>
      <c r="AM38" s="271">
        <v>1</v>
      </c>
      <c r="AN38" s="271">
        <v>57</v>
      </c>
      <c r="AO38" s="271">
        <v>19</v>
      </c>
      <c r="AP38" s="271">
        <v>2</v>
      </c>
      <c r="AQ38" s="271">
        <v>0</v>
      </c>
      <c r="AR38" s="271">
        <v>79</v>
      </c>
      <c r="AT38" s="271">
        <v>0</v>
      </c>
      <c r="AU38" s="271">
        <v>0</v>
      </c>
      <c r="AV38" s="271">
        <v>0</v>
      </c>
      <c r="AW38" s="271">
        <v>0</v>
      </c>
      <c r="AX38" s="271">
        <v>0</v>
      </c>
      <c r="AY38" s="271">
        <v>0</v>
      </c>
      <c r="AZ38" s="271">
        <v>0</v>
      </c>
      <c r="BA38" s="271">
        <v>0</v>
      </c>
      <c r="BB38" s="271">
        <v>0</v>
      </c>
      <c r="BC38" s="271">
        <v>0</v>
      </c>
      <c r="BD38" s="271">
        <v>0</v>
      </c>
      <c r="BE38" s="271">
        <v>0</v>
      </c>
      <c r="BF38" s="271">
        <v>0</v>
      </c>
      <c r="BG38" s="271">
        <v>0</v>
      </c>
      <c r="BH38" s="271">
        <v>0</v>
      </c>
      <c r="BI38" s="271">
        <v>5</v>
      </c>
      <c r="BJ38" s="271">
        <v>0</v>
      </c>
      <c r="BK38" s="271">
        <v>0</v>
      </c>
      <c r="BL38" s="271">
        <v>5</v>
      </c>
      <c r="BN38" s="271">
        <v>0</v>
      </c>
      <c r="BO38" s="271">
        <v>0</v>
      </c>
      <c r="BP38" s="271">
        <v>0</v>
      </c>
      <c r="BQ38" s="271">
        <v>0</v>
      </c>
      <c r="BR38" s="271">
        <v>0</v>
      </c>
      <c r="BS38" s="271">
        <v>0</v>
      </c>
      <c r="BT38" s="271">
        <v>0</v>
      </c>
      <c r="BU38" s="271">
        <v>0</v>
      </c>
      <c r="BV38" s="271">
        <v>0</v>
      </c>
      <c r="BW38" s="271">
        <v>0</v>
      </c>
      <c r="BX38" s="271">
        <v>0</v>
      </c>
      <c r="BY38" s="271">
        <v>0</v>
      </c>
      <c r="BZ38" s="271">
        <v>0</v>
      </c>
      <c r="CA38" s="271">
        <v>1</v>
      </c>
      <c r="CB38" s="271">
        <v>57</v>
      </c>
      <c r="CC38" s="271">
        <v>24</v>
      </c>
      <c r="CD38" s="271">
        <v>2</v>
      </c>
      <c r="CE38" s="271">
        <v>0</v>
      </c>
      <c r="CF38" s="271">
        <v>84</v>
      </c>
      <c r="CH38" s="260">
        <v>0</v>
      </c>
      <c r="CI38" s="260">
        <v>840000</v>
      </c>
      <c r="CJ38" s="628"/>
      <c r="CK38" s="628">
        <v>840110</v>
      </c>
      <c r="CL38" s="260">
        <v>393837.29720891081</v>
      </c>
      <c r="CM38" s="260">
        <v>0</v>
      </c>
      <c r="CN38" s="260">
        <v>0</v>
      </c>
      <c r="CO38" s="628"/>
      <c r="CP38" s="628">
        <v>1233837.2972089108</v>
      </c>
      <c r="CQ38" s="635">
        <v>1233837.2972089108</v>
      </c>
      <c r="CR38" s="260">
        <v>26187.471024618721</v>
      </c>
      <c r="CS38" s="635">
        <v>1260024.7682335295</v>
      </c>
    </row>
    <row r="39" spans="2:97" s="271" customFormat="1" x14ac:dyDescent="0.2">
      <c r="B39" s="271" t="s">
        <v>295</v>
      </c>
      <c r="C39" s="271">
        <v>0</v>
      </c>
      <c r="D39" s="271">
        <v>94</v>
      </c>
      <c r="E39" s="271">
        <v>0</v>
      </c>
      <c r="F39" s="271">
        <v>94</v>
      </c>
      <c r="H39" s="260"/>
      <c r="I39" s="260"/>
      <c r="J39" s="275"/>
      <c r="K39" s="275"/>
      <c r="L39" s="275"/>
      <c r="M39" s="275"/>
      <c r="N39" s="260"/>
      <c r="O39" s="260"/>
      <c r="P39" s="275"/>
      <c r="Q39" s="275"/>
      <c r="R39" s="275"/>
      <c r="S39" s="275"/>
      <c r="T39" s="260"/>
      <c r="U39" s="260"/>
      <c r="V39" s="275"/>
      <c r="W39" s="275"/>
      <c r="X39" s="275"/>
      <c r="Y39" s="275"/>
      <c r="Z39" s="271">
        <v>0</v>
      </c>
      <c r="AA39" s="271">
        <v>0</v>
      </c>
      <c r="AB39" s="271">
        <v>0</v>
      </c>
      <c r="AC39" s="271">
        <v>42</v>
      </c>
      <c r="AD39" s="271">
        <v>50</v>
      </c>
      <c r="AE39" s="271">
        <v>2</v>
      </c>
      <c r="AF39" s="271">
        <v>0</v>
      </c>
      <c r="AG39" s="271">
        <v>0</v>
      </c>
      <c r="AH39" s="271">
        <v>0</v>
      </c>
      <c r="AI39" s="271">
        <v>0</v>
      </c>
      <c r="AJ39" s="271">
        <v>0</v>
      </c>
      <c r="AK39" s="271">
        <v>0</v>
      </c>
      <c r="AL39" s="271">
        <v>0</v>
      </c>
      <c r="AM39" s="271">
        <v>0</v>
      </c>
      <c r="AN39" s="271">
        <v>0</v>
      </c>
      <c r="AO39" s="271">
        <v>0</v>
      </c>
      <c r="AP39" s="271">
        <v>0</v>
      </c>
      <c r="AQ39" s="271">
        <v>0</v>
      </c>
      <c r="AR39" s="271">
        <v>94</v>
      </c>
      <c r="AT39" s="271">
        <v>0</v>
      </c>
      <c r="AU39" s="271">
        <v>0</v>
      </c>
      <c r="AV39" s="271">
        <v>0</v>
      </c>
      <c r="AW39" s="271">
        <v>0</v>
      </c>
      <c r="AX39" s="271">
        <v>0</v>
      </c>
      <c r="AY39" s="271">
        <v>0</v>
      </c>
      <c r="AZ39" s="271">
        <v>0</v>
      </c>
      <c r="BA39" s="271">
        <v>0</v>
      </c>
      <c r="BB39" s="271">
        <v>0</v>
      </c>
      <c r="BC39" s="271">
        <v>0</v>
      </c>
      <c r="BD39" s="271">
        <v>0</v>
      </c>
      <c r="BE39" s="271">
        <v>0</v>
      </c>
      <c r="BF39" s="271">
        <v>0</v>
      </c>
      <c r="BG39" s="271">
        <v>0</v>
      </c>
      <c r="BH39" s="271">
        <v>0</v>
      </c>
      <c r="BI39" s="271">
        <v>0</v>
      </c>
      <c r="BJ39" s="271">
        <v>0</v>
      </c>
      <c r="BK39" s="271">
        <v>0</v>
      </c>
      <c r="BL39" s="271">
        <v>0</v>
      </c>
      <c r="BN39" s="271">
        <v>0</v>
      </c>
      <c r="BO39" s="271">
        <v>0</v>
      </c>
      <c r="BP39" s="271">
        <v>0</v>
      </c>
      <c r="BQ39" s="271">
        <v>42</v>
      </c>
      <c r="BR39" s="271">
        <v>50</v>
      </c>
      <c r="BS39" s="271">
        <v>2</v>
      </c>
      <c r="BT39" s="271">
        <v>0</v>
      </c>
      <c r="BU39" s="271">
        <v>0</v>
      </c>
      <c r="BV39" s="271">
        <v>0</v>
      </c>
      <c r="BW39" s="271">
        <v>0</v>
      </c>
      <c r="BX39" s="271">
        <v>0</v>
      </c>
      <c r="BY39" s="271">
        <v>0</v>
      </c>
      <c r="BZ39" s="271">
        <v>0</v>
      </c>
      <c r="CA39" s="271">
        <v>0</v>
      </c>
      <c r="CB39" s="271">
        <v>0</v>
      </c>
      <c r="CC39" s="271">
        <v>0</v>
      </c>
      <c r="CD39" s="271">
        <v>0</v>
      </c>
      <c r="CE39" s="271">
        <v>0</v>
      </c>
      <c r="CF39" s="271">
        <v>94</v>
      </c>
      <c r="CH39" s="260">
        <v>0</v>
      </c>
      <c r="CI39" s="260">
        <v>940000</v>
      </c>
      <c r="CJ39" s="628"/>
      <c r="CK39" s="628">
        <v>940094</v>
      </c>
      <c r="CL39" s="260">
        <v>977409.97995603585</v>
      </c>
      <c r="CM39" s="260">
        <v>0</v>
      </c>
      <c r="CN39" s="260">
        <v>0</v>
      </c>
      <c r="CO39" s="628"/>
      <c r="CP39" s="628">
        <v>1917409.979956036</v>
      </c>
      <c r="CQ39" s="635">
        <v>1917409.979956036</v>
      </c>
      <c r="CR39" s="260">
        <v>0</v>
      </c>
      <c r="CS39" s="635">
        <v>1917409.979956036</v>
      </c>
    </row>
    <row r="40" spans="2:97" s="271" customFormat="1" x14ac:dyDescent="0.2">
      <c r="B40" s="271" t="s">
        <v>296</v>
      </c>
      <c r="C40" s="271">
        <v>0</v>
      </c>
      <c r="D40" s="271">
        <v>97</v>
      </c>
      <c r="E40" s="271">
        <v>2</v>
      </c>
      <c r="F40" s="271">
        <v>99</v>
      </c>
      <c r="H40" s="260"/>
      <c r="I40" s="260"/>
      <c r="J40" s="275"/>
      <c r="K40" s="275"/>
      <c r="L40" s="275"/>
      <c r="M40" s="275"/>
      <c r="N40" s="260"/>
      <c r="O40" s="260"/>
      <c r="P40" s="275"/>
      <c r="Q40" s="275"/>
      <c r="R40" s="275"/>
      <c r="S40" s="275"/>
      <c r="T40" s="260"/>
      <c r="U40" s="260"/>
      <c r="V40" s="275"/>
      <c r="W40" s="275"/>
      <c r="X40" s="275"/>
      <c r="Y40" s="275"/>
      <c r="Z40" s="271">
        <v>0</v>
      </c>
      <c r="AA40" s="271">
        <v>0</v>
      </c>
      <c r="AB40" s="271">
        <v>0</v>
      </c>
      <c r="AC40" s="271">
        <v>0</v>
      </c>
      <c r="AD40" s="271">
        <v>0</v>
      </c>
      <c r="AE40" s="271">
        <v>0</v>
      </c>
      <c r="AF40" s="271">
        <v>0</v>
      </c>
      <c r="AG40" s="271">
        <v>0</v>
      </c>
      <c r="AH40" s="271">
        <v>0</v>
      </c>
      <c r="AI40" s="271">
        <v>0</v>
      </c>
      <c r="AJ40" s="271">
        <v>0</v>
      </c>
      <c r="AK40" s="271">
        <v>0</v>
      </c>
      <c r="AL40" s="271">
        <v>0</v>
      </c>
      <c r="AM40" s="271">
        <v>0</v>
      </c>
      <c r="AN40" s="271">
        <v>12</v>
      </c>
      <c r="AO40" s="271">
        <v>49</v>
      </c>
      <c r="AP40" s="271">
        <v>31</v>
      </c>
      <c r="AQ40" s="271">
        <v>5</v>
      </c>
      <c r="AR40" s="271">
        <v>97</v>
      </c>
      <c r="AT40" s="271">
        <v>0</v>
      </c>
      <c r="AU40" s="271">
        <v>0</v>
      </c>
      <c r="AV40" s="271">
        <v>0</v>
      </c>
      <c r="AW40" s="271">
        <v>0</v>
      </c>
      <c r="AX40" s="271">
        <v>0</v>
      </c>
      <c r="AY40" s="271">
        <v>0</v>
      </c>
      <c r="AZ40" s="271">
        <v>0</v>
      </c>
      <c r="BA40" s="271">
        <v>0</v>
      </c>
      <c r="BB40" s="271">
        <v>0</v>
      </c>
      <c r="BC40" s="271">
        <v>0</v>
      </c>
      <c r="BD40" s="271">
        <v>0</v>
      </c>
      <c r="BE40" s="271">
        <v>0</v>
      </c>
      <c r="BF40" s="271">
        <v>0</v>
      </c>
      <c r="BG40" s="271">
        <v>0</v>
      </c>
      <c r="BH40" s="271">
        <v>2</v>
      </c>
      <c r="BI40" s="271">
        <v>0</v>
      </c>
      <c r="BJ40" s="271">
        <v>0</v>
      </c>
      <c r="BK40" s="271">
        <v>0</v>
      </c>
      <c r="BL40" s="271">
        <v>2</v>
      </c>
      <c r="BN40" s="271">
        <v>0</v>
      </c>
      <c r="BO40" s="271">
        <v>0</v>
      </c>
      <c r="BP40" s="271">
        <v>0</v>
      </c>
      <c r="BQ40" s="271">
        <v>0</v>
      </c>
      <c r="BR40" s="271">
        <v>0</v>
      </c>
      <c r="BS40" s="271">
        <v>0</v>
      </c>
      <c r="BT40" s="271">
        <v>0</v>
      </c>
      <c r="BU40" s="271">
        <v>0</v>
      </c>
      <c r="BV40" s="271">
        <v>0</v>
      </c>
      <c r="BW40" s="271">
        <v>0</v>
      </c>
      <c r="BX40" s="271">
        <v>0</v>
      </c>
      <c r="BY40" s="271">
        <v>0</v>
      </c>
      <c r="BZ40" s="271">
        <v>0</v>
      </c>
      <c r="CA40" s="271">
        <v>0</v>
      </c>
      <c r="CB40" s="271">
        <v>14</v>
      </c>
      <c r="CC40" s="271">
        <v>49</v>
      </c>
      <c r="CD40" s="271">
        <v>31</v>
      </c>
      <c r="CE40" s="271">
        <v>5</v>
      </c>
      <c r="CF40" s="271">
        <v>99</v>
      </c>
      <c r="CH40" s="260">
        <v>0</v>
      </c>
      <c r="CI40" s="260">
        <v>990000</v>
      </c>
      <c r="CJ40" s="628"/>
      <c r="CK40" s="628">
        <v>990184</v>
      </c>
      <c r="CL40" s="260">
        <v>928795.12822917453</v>
      </c>
      <c r="CM40" s="260">
        <v>0</v>
      </c>
      <c r="CN40" s="260">
        <v>80882</v>
      </c>
      <c r="CO40" s="628"/>
      <c r="CP40" s="628">
        <v>1999677.1282291748</v>
      </c>
      <c r="CQ40" s="635">
        <v>1999677.1282291748</v>
      </c>
      <c r="CR40" s="260">
        <v>13516.608475350802</v>
      </c>
      <c r="CS40" s="635">
        <v>2013193.7367045255</v>
      </c>
    </row>
    <row r="41" spans="2:97" s="271" customFormat="1" x14ac:dyDescent="0.2">
      <c r="B41" s="271" t="s">
        <v>297</v>
      </c>
      <c r="C41" s="271">
        <v>0</v>
      </c>
      <c r="D41" s="271">
        <v>80</v>
      </c>
      <c r="E41" s="271">
        <v>0</v>
      </c>
      <c r="F41" s="271">
        <v>80</v>
      </c>
      <c r="H41" s="260"/>
      <c r="I41" s="260"/>
      <c r="J41" s="275"/>
      <c r="K41" s="275"/>
      <c r="L41" s="275"/>
      <c r="M41" s="275"/>
      <c r="N41" s="260"/>
      <c r="O41" s="260"/>
      <c r="P41" s="275"/>
      <c r="Q41" s="275"/>
      <c r="R41" s="275"/>
      <c r="S41" s="275"/>
      <c r="T41" s="260"/>
      <c r="U41" s="260"/>
      <c r="V41" s="275"/>
      <c r="W41" s="275"/>
      <c r="X41" s="275"/>
      <c r="Y41" s="275"/>
      <c r="Z41" s="271">
        <v>0</v>
      </c>
      <c r="AA41" s="271">
        <v>0</v>
      </c>
      <c r="AB41" s="271">
        <v>0</v>
      </c>
      <c r="AC41" s="271">
        <v>0</v>
      </c>
      <c r="AD41" s="271">
        <v>0</v>
      </c>
      <c r="AE41" s="271">
        <v>0</v>
      </c>
      <c r="AF41" s="271">
        <v>0</v>
      </c>
      <c r="AG41" s="271">
        <v>0</v>
      </c>
      <c r="AH41" s="271">
        <v>0</v>
      </c>
      <c r="AI41" s="271">
        <v>0</v>
      </c>
      <c r="AJ41" s="271">
        <v>0</v>
      </c>
      <c r="AK41" s="271">
        <v>0</v>
      </c>
      <c r="AL41" s="271">
        <v>0</v>
      </c>
      <c r="AM41" s="271">
        <v>0</v>
      </c>
      <c r="AN41" s="271">
        <v>0</v>
      </c>
      <c r="AO41" s="271">
        <v>30</v>
      </c>
      <c r="AP41" s="271">
        <v>50</v>
      </c>
      <c r="AQ41" s="271">
        <v>0</v>
      </c>
      <c r="AR41" s="271">
        <v>80</v>
      </c>
      <c r="AT41" s="271">
        <v>0</v>
      </c>
      <c r="AU41" s="271">
        <v>0</v>
      </c>
      <c r="AV41" s="271">
        <v>0</v>
      </c>
      <c r="AW41" s="271">
        <v>0</v>
      </c>
      <c r="AX41" s="271">
        <v>0</v>
      </c>
      <c r="AY41" s="271">
        <v>0</v>
      </c>
      <c r="AZ41" s="271">
        <v>0</v>
      </c>
      <c r="BA41" s="271">
        <v>0</v>
      </c>
      <c r="BB41" s="271">
        <v>0</v>
      </c>
      <c r="BC41" s="271">
        <v>0</v>
      </c>
      <c r="BD41" s="271">
        <v>0</v>
      </c>
      <c r="BE41" s="271">
        <v>0</v>
      </c>
      <c r="BF41" s="271">
        <v>0</v>
      </c>
      <c r="BG41" s="271">
        <v>0</v>
      </c>
      <c r="BH41" s="271">
        <v>0</v>
      </c>
      <c r="BI41" s="271">
        <v>0</v>
      </c>
      <c r="BJ41" s="271">
        <v>0</v>
      </c>
      <c r="BK41" s="271">
        <v>0</v>
      </c>
      <c r="BL41" s="271">
        <v>0</v>
      </c>
      <c r="BN41" s="271">
        <v>0</v>
      </c>
      <c r="BO41" s="271">
        <v>0</v>
      </c>
      <c r="BP41" s="271">
        <v>0</v>
      </c>
      <c r="BQ41" s="271">
        <v>0</v>
      </c>
      <c r="BR41" s="271">
        <v>0</v>
      </c>
      <c r="BS41" s="271">
        <v>0</v>
      </c>
      <c r="BT41" s="271">
        <v>0</v>
      </c>
      <c r="BU41" s="271">
        <v>0</v>
      </c>
      <c r="BV41" s="271">
        <v>0</v>
      </c>
      <c r="BW41" s="271">
        <v>0</v>
      </c>
      <c r="BX41" s="271">
        <v>0</v>
      </c>
      <c r="BY41" s="271">
        <v>0</v>
      </c>
      <c r="BZ41" s="271">
        <v>0</v>
      </c>
      <c r="CA41" s="271">
        <v>0</v>
      </c>
      <c r="CB41" s="271">
        <v>0</v>
      </c>
      <c r="CC41" s="271">
        <v>30</v>
      </c>
      <c r="CD41" s="271">
        <v>50</v>
      </c>
      <c r="CE41" s="271">
        <v>0</v>
      </c>
      <c r="CF41" s="271">
        <v>80</v>
      </c>
      <c r="CH41" s="260">
        <v>0</v>
      </c>
      <c r="CI41" s="260">
        <v>800000</v>
      </c>
      <c r="CJ41" s="628"/>
      <c r="CK41" s="628">
        <v>800160</v>
      </c>
      <c r="CL41" s="260">
        <v>1418796.9636897566</v>
      </c>
      <c r="CM41" s="260">
        <v>0</v>
      </c>
      <c r="CN41" s="260">
        <v>0</v>
      </c>
      <c r="CO41" s="628"/>
      <c r="CP41" s="628">
        <v>2218796.9636897566</v>
      </c>
      <c r="CQ41" s="635">
        <v>2218796.9636897566</v>
      </c>
      <c r="CR41" s="260">
        <v>0</v>
      </c>
      <c r="CS41" s="635">
        <v>2218796.9636897566</v>
      </c>
    </row>
    <row r="42" spans="2:97" s="271" customFormat="1" x14ac:dyDescent="0.2">
      <c r="B42" s="271" t="s">
        <v>330</v>
      </c>
      <c r="C42" s="271">
        <v>36</v>
      </c>
      <c r="D42" s="271">
        <v>0</v>
      </c>
      <c r="E42" s="271">
        <v>0</v>
      </c>
      <c r="F42" s="271">
        <v>36</v>
      </c>
      <c r="H42" s="260"/>
      <c r="I42" s="260"/>
      <c r="J42" s="275"/>
      <c r="K42" s="275"/>
      <c r="L42" s="275"/>
      <c r="M42" s="275"/>
      <c r="N42" s="260"/>
      <c r="O42" s="260"/>
      <c r="P42" s="275"/>
      <c r="Q42" s="275"/>
      <c r="R42" s="275"/>
      <c r="S42" s="275"/>
      <c r="T42" s="260"/>
      <c r="U42" s="260"/>
      <c r="V42" s="275"/>
      <c r="W42" s="275"/>
      <c r="X42" s="275"/>
      <c r="Y42" s="275"/>
      <c r="Z42" s="271">
        <v>0</v>
      </c>
      <c r="AA42" s="271">
        <v>0</v>
      </c>
      <c r="AB42" s="271">
        <v>0</v>
      </c>
      <c r="AC42" s="271">
        <v>0</v>
      </c>
      <c r="AD42" s="271">
        <v>36</v>
      </c>
      <c r="AE42" s="271">
        <v>0</v>
      </c>
      <c r="AF42" s="271">
        <v>0</v>
      </c>
      <c r="AG42" s="271">
        <v>0</v>
      </c>
      <c r="AH42" s="271">
        <v>0</v>
      </c>
      <c r="AI42" s="271">
        <v>0</v>
      </c>
      <c r="AJ42" s="271">
        <v>0</v>
      </c>
      <c r="AK42" s="271">
        <v>0</v>
      </c>
      <c r="AL42" s="271">
        <v>0</v>
      </c>
      <c r="AM42" s="271">
        <v>0</v>
      </c>
      <c r="AN42" s="271">
        <v>0</v>
      </c>
      <c r="AO42" s="271">
        <v>0</v>
      </c>
      <c r="AP42" s="271">
        <v>0</v>
      </c>
      <c r="AQ42" s="271">
        <v>0</v>
      </c>
      <c r="AR42" s="271">
        <v>36</v>
      </c>
      <c r="AT42" s="271">
        <v>0</v>
      </c>
      <c r="AU42" s="271">
        <v>0</v>
      </c>
      <c r="AV42" s="271">
        <v>0</v>
      </c>
      <c r="AW42" s="271">
        <v>0</v>
      </c>
      <c r="AX42" s="271">
        <v>0</v>
      </c>
      <c r="AY42" s="271">
        <v>0</v>
      </c>
      <c r="AZ42" s="271">
        <v>0</v>
      </c>
      <c r="BA42" s="271">
        <v>0</v>
      </c>
      <c r="BB42" s="271">
        <v>0</v>
      </c>
      <c r="BC42" s="271">
        <v>0</v>
      </c>
      <c r="BD42" s="271">
        <v>0</v>
      </c>
      <c r="BE42" s="271">
        <v>0</v>
      </c>
      <c r="BF42" s="271">
        <v>0</v>
      </c>
      <c r="BG42" s="271">
        <v>0</v>
      </c>
      <c r="BH42" s="271">
        <v>0</v>
      </c>
      <c r="BI42" s="271">
        <v>0</v>
      </c>
      <c r="BJ42" s="271">
        <v>0</v>
      </c>
      <c r="BK42" s="271">
        <v>0</v>
      </c>
      <c r="BL42" s="271">
        <v>0</v>
      </c>
      <c r="BN42" s="271">
        <v>0</v>
      </c>
      <c r="BO42" s="271">
        <v>0</v>
      </c>
      <c r="BP42" s="271">
        <v>0</v>
      </c>
      <c r="BQ42" s="271">
        <v>0</v>
      </c>
      <c r="BR42" s="271">
        <v>36</v>
      </c>
      <c r="BS42" s="271">
        <v>0</v>
      </c>
      <c r="BT42" s="271">
        <v>0</v>
      </c>
      <c r="BU42" s="271">
        <v>0</v>
      </c>
      <c r="BV42" s="271">
        <v>0</v>
      </c>
      <c r="BW42" s="271">
        <v>0</v>
      </c>
      <c r="BX42" s="271">
        <v>0</v>
      </c>
      <c r="BY42" s="271">
        <v>0</v>
      </c>
      <c r="BZ42" s="271">
        <v>0</v>
      </c>
      <c r="CA42" s="271">
        <v>0</v>
      </c>
      <c r="CB42" s="271">
        <v>0</v>
      </c>
      <c r="CC42" s="271">
        <v>0</v>
      </c>
      <c r="CD42" s="271">
        <v>0</v>
      </c>
      <c r="CE42" s="271">
        <v>0</v>
      </c>
      <c r="CF42" s="271">
        <v>36</v>
      </c>
      <c r="CH42" s="260">
        <v>288000</v>
      </c>
      <c r="CI42" s="260">
        <v>0</v>
      </c>
      <c r="CJ42" s="628">
        <v>288036</v>
      </c>
      <c r="CK42" s="628"/>
      <c r="CL42" s="260">
        <v>553000</v>
      </c>
      <c r="CM42" s="260">
        <v>0</v>
      </c>
      <c r="CN42" s="260">
        <v>0</v>
      </c>
      <c r="CO42" s="628">
        <v>841000</v>
      </c>
      <c r="CP42" s="628"/>
      <c r="CQ42" s="635">
        <v>841000</v>
      </c>
      <c r="CR42" s="260">
        <v>0</v>
      </c>
      <c r="CS42" s="635">
        <v>841000</v>
      </c>
    </row>
    <row r="43" spans="2:97" s="271" customFormat="1" x14ac:dyDescent="0.2">
      <c r="B43" s="271" t="s">
        <v>331</v>
      </c>
      <c r="C43" s="271">
        <v>60</v>
      </c>
      <c r="D43" s="271">
        <v>0</v>
      </c>
      <c r="E43" s="271">
        <v>0</v>
      </c>
      <c r="F43" s="271">
        <v>60</v>
      </c>
      <c r="H43" s="260"/>
      <c r="I43" s="260"/>
      <c r="J43" s="275"/>
      <c r="K43" s="275"/>
      <c r="L43" s="275"/>
      <c r="M43" s="275"/>
      <c r="N43" s="260"/>
      <c r="O43" s="260"/>
      <c r="P43" s="275"/>
      <c r="Q43" s="275"/>
      <c r="R43" s="275"/>
      <c r="S43" s="275"/>
      <c r="T43" s="260"/>
      <c r="U43" s="260"/>
      <c r="V43" s="275"/>
      <c r="W43" s="275"/>
      <c r="X43" s="275"/>
      <c r="Y43" s="275"/>
      <c r="Z43" s="271">
        <v>0</v>
      </c>
      <c r="AA43" s="271">
        <v>0</v>
      </c>
      <c r="AB43" s="271">
        <v>0</v>
      </c>
      <c r="AC43" s="271">
        <v>0</v>
      </c>
      <c r="AD43" s="271">
        <v>0</v>
      </c>
      <c r="AE43" s="271">
        <v>0</v>
      </c>
      <c r="AF43" s="271">
        <v>0</v>
      </c>
      <c r="AG43" s="271">
        <v>0</v>
      </c>
      <c r="AH43" s="271">
        <v>0</v>
      </c>
      <c r="AI43" s="271">
        <v>0</v>
      </c>
      <c r="AJ43" s="271">
        <v>0</v>
      </c>
      <c r="AK43" s="271">
        <v>0</v>
      </c>
      <c r="AL43" s="271">
        <v>0</v>
      </c>
      <c r="AM43" s="271">
        <v>0</v>
      </c>
      <c r="AN43" s="271">
        <v>0</v>
      </c>
      <c r="AO43" s="271">
        <v>0</v>
      </c>
      <c r="AP43" s="271">
        <v>60</v>
      </c>
      <c r="AQ43" s="271">
        <v>0</v>
      </c>
      <c r="AR43" s="271">
        <v>60</v>
      </c>
      <c r="AT43" s="271">
        <v>0</v>
      </c>
      <c r="AU43" s="271">
        <v>0</v>
      </c>
      <c r="AV43" s="271">
        <v>0</v>
      </c>
      <c r="AW43" s="271">
        <v>0</v>
      </c>
      <c r="AX43" s="271">
        <v>0</v>
      </c>
      <c r="AY43" s="271">
        <v>0</v>
      </c>
      <c r="AZ43" s="271">
        <v>0</v>
      </c>
      <c r="BA43" s="271">
        <v>0</v>
      </c>
      <c r="BB43" s="271">
        <v>0</v>
      </c>
      <c r="BC43" s="271">
        <v>0</v>
      </c>
      <c r="BD43" s="271">
        <v>0</v>
      </c>
      <c r="BE43" s="271">
        <v>0</v>
      </c>
      <c r="BF43" s="271">
        <v>0</v>
      </c>
      <c r="BG43" s="271">
        <v>0</v>
      </c>
      <c r="BH43" s="271">
        <v>0</v>
      </c>
      <c r="BI43" s="271">
        <v>0</v>
      </c>
      <c r="BJ43" s="271">
        <v>0</v>
      </c>
      <c r="BK43" s="271">
        <v>0</v>
      </c>
      <c r="BL43" s="271">
        <v>0</v>
      </c>
      <c r="BN43" s="271">
        <v>0</v>
      </c>
      <c r="BO43" s="271">
        <v>0</v>
      </c>
      <c r="BP43" s="271">
        <v>0</v>
      </c>
      <c r="BQ43" s="271">
        <v>0</v>
      </c>
      <c r="BR43" s="271">
        <v>0</v>
      </c>
      <c r="BS43" s="271">
        <v>0</v>
      </c>
      <c r="BT43" s="271">
        <v>0</v>
      </c>
      <c r="BU43" s="271">
        <v>0</v>
      </c>
      <c r="BV43" s="271">
        <v>0</v>
      </c>
      <c r="BW43" s="271">
        <v>0</v>
      </c>
      <c r="BX43" s="271">
        <v>0</v>
      </c>
      <c r="BY43" s="271">
        <v>0</v>
      </c>
      <c r="BZ43" s="271">
        <v>0</v>
      </c>
      <c r="CA43" s="271">
        <v>0</v>
      </c>
      <c r="CB43" s="271">
        <v>0</v>
      </c>
      <c r="CC43" s="271">
        <v>0</v>
      </c>
      <c r="CD43" s="271">
        <v>60</v>
      </c>
      <c r="CE43" s="271">
        <v>0</v>
      </c>
      <c r="CF43" s="271">
        <v>60</v>
      </c>
      <c r="CH43" s="260">
        <v>480000</v>
      </c>
      <c r="CI43" s="260">
        <v>0</v>
      </c>
      <c r="CJ43" s="628">
        <v>480120</v>
      </c>
      <c r="CK43" s="628"/>
      <c r="CL43" s="260">
        <v>1053365</v>
      </c>
      <c r="CM43" s="260">
        <v>0</v>
      </c>
      <c r="CN43" s="260">
        <v>0</v>
      </c>
      <c r="CO43" s="628">
        <v>1533365</v>
      </c>
      <c r="CP43" s="628"/>
      <c r="CQ43" s="635">
        <v>1533365</v>
      </c>
      <c r="CR43" s="260">
        <v>0</v>
      </c>
      <c r="CS43" s="635">
        <v>1533365</v>
      </c>
    </row>
    <row r="44" spans="2:97" s="276" customFormat="1" ht="13.5" thickBot="1" x14ac:dyDescent="0.25">
      <c r="C44" s="277">
        <v>96</v>
      </c>
      <c r="D44" s="277">
        <v>518</v>
      </c>
      <c r="E44" s="277">
        <v>16</v>
      </c>
      <c r="F44" s="277">
        <v>630</v>
      </c>
      <c r="H44" s="278"/>
      <c r="I44" s="278"/>
      <c r="J44" s="278"/>
      <c r="K44" s="278"/>
      <c r="L44" s="278"/>
      <c r="M44" s="278"/>
      <c r="N44" s="278"/>
      <c r="O44" s="278"/>
      <c r="P44" s="278"/>
      <c r="Q44" s="278"/>
      <c r="R44" s="278"/>
      <c r="S44" s="278"/>
      <c r="T44" s="278"/>
      <c r="U44" s="278"/>
      <c r="V44" s="278"/>
      <c r="W44" s="278"/>
      <c r="X44" s="278"/>
      <c r="Y44" s="278"/>
      <c r="Z44" s="277">
        <v>0</v>
      </c>
      <c r="AA44" s="277">
        <v>0</v>
      </c>
      <c r="AB44" s="277">
        <v>0</v>
      </c>
      <c r="AC44" s="277">
        <v>42</v>
      </c>
      <c r="AD44" s="277">
        <v>103</v>
      </c>
      <c r="AE44" s="277">
        <v>3</v>
      </c>
      <c r="AF44" s="277">
        <v>0</v>
      </c>
      <c r="AG44" s="277">
        <v>0</v>
      </c>
      <c r="AH44" s="277">
        <v>0</v>
      </c>
      <c r="AI44" s="277">
        <v>4</v>
      </c>
      <c r="AJ44" s="277">
        <v>19</v>
      </c>
      <c r="AK44" s="277">
        <v>1</v>
      </c>
      <c r="AL44" s="277">
        <v>0</v>
      </c>
      <c r="AM44" s="277">
        <v>1</v>
      </c>
      <c r="AN44" s="277">
        <v>69</v>
      </c>
      <c r="AO44" s="277">
        <v>145</v>
      </c>
      <c r="AP44" s="277">
        <v>217</v>
      </c>
      <c r="AQ44" s="277">
        <v>10</v>
      </c>
      <c r="AR44" s="277">
        <v>614</v>
      </c>
      <c r="AT44" s="277">
        <v>0</v>
      </c>
      <c r="AU44" s="277">
        <v>0</v>
      </c>
      <c r="AV44" s="277">
        <v>0</v>
      </c>
      <c r="AW44" s="277">
        <v>0</v>
      </c>
      <c r="AX44" s="277">
        <v>0</v>
      </c>
      <c r="AY44" s="277">
        <v>0</v>
      </c>
      <c r="AZ44" s="277">
        <v>0</v>
      </c>
      <c r="BA44" s="277">
        <v>0</v>
      </c>
      <c r="BB44" s="277">
        <v>0</v>
      </c>
      <c r="BC44" s="277">
        <v>0</v>
      </c>
      <c r="BD44" s="277">
        <v>0</v>
      </c>
      <c r="BE44" s="277">
        <v>0</v>
      </c>
      <c r="BF44" s="277">
        <v>0</v>
      </c>
      <c r="BG44" s="277">
        <v>0</v>
      </c>
      <c r="BH44" s="277">
        <v>2</v>
      </c>
      <c r="BI44" s="277">
        <v>14</v>
      </c>
      <c r="BJ44" s="277">
        <v>0</v>
      </c>
      <c r="BK44" s="277">
        <v>0</v>
      </c>
      <c r="BL44" s="277">
        <v>16</v>
      </c>
      <c r="BN44" s="277">
        <v>0</v>
      </c>
      <c r="BO44" s="277">
        <v>0</v>
      </c>
      <c r="BP44" s="277">
        <v>0</v>
      </c>
      <c r="BQ44" s="277">
        <v>42</v>
      </c>
      <c r="BR44" s="277">
        <v>103</v>
      </c>
      <c r="BS44" s="277">
        <v>3</v>
      </c>
      <c r="BT44" s="277">
        <v>0</v>
      </c>
      <c r="BU44" s="277">
        <v>0</v>
      </c>
      <c r="BV44" s="277">
        <v>0</v>
      </c>
      <c r="BW44" s="277">
        <v>4</v>
      </c>
      <c r="BX44" s="277">
        <v>19</v>
      </c>
      <c r="BY44" s="277">
        <v>1</v>
      </c>
      <c r="BZ44" s="277">
        <v>0</v>
      </c>
      <c r="CA44" s="277">
        <v>1</v>
      </c>
      <c r="CB44" s="277">
        <v>71</v>
      </c>
      <c r="CC44" s="277">
        <v>159</v>
      </c>
      <c r="CD44" s="277">
        <v>217</v>
      </c>
      <c r="CE44" s="277">
        <v>10</v>
      </c>
      <c r="CF44" s="277">
        <v>630</v>
      </c>
      <c r="CH44" s="279">
        <v>768000</v>
      </c>
      <c r="CI44" s="279">
        <v>5340000</v>
      </c>
      <c r="CJ44" s="633">
        <v>768156</v>
      </c>
      <c r="CK44" s="633">
        <v>5340860</v>
      </c>
      <c r="CL44" s="279">
        <v>7695707.8288591327</v>
      </c>
      <c r="CM44" s="279">
        <v>376295</v>
      </c>
      <c r="CN44" s="279">
        <v>80882</v>
      </c>
      <c r="CO44" s="633">
        <v>2374365</v>
      </c>
      <c r="CP44" s="633">
        <v>11886519.828859136</v>
      </c>
      <c r="CQ44" s="639">
        <v>14260884.828859136</v>
      </c>
      <c r="CR44" s="279">
        <v>128632.7447447344</v>
      </c>
      <c r="CS44" s="639">
        <v>14389517.573603868</v>
      </c>
    </row>
    <row r="47" spans="2:97" x14ac:dyDescent="0.2">
      <c r="CH47" s="250">
        <v>0</v>
      </c>
      <c r="CI47" s="250">
        <v>0</v>
      </c>
      <c r="CJ47" s="250">
        <v>-838209</v>
      </c>
      <c r="CK47" s="250">
        <v>-748482.82885913271</v>
      </c>
      <c r="CL47" s="250">
        <v>0</v>
      </c>
      <c r="CM47" s="250">
        <v>0</v>
      </c>
      <c r="CN47" s="250">
        <v>0</v>
      </c>
      <c r="CO47" s="250">
        <v>0</v>
      </c>
      <c r="CP47" s="250">
        <v>0</v>
      </c>
      <c r="CQ47" s="250">
        <v>0</v>
      </c>
      <c r="CR47" s="250">
        <v>0</v>
      </c>
      <c r="CS47" s="250">
        <v>0</v>
      </c>
    </row>
    <row r="49" spans="2:97" x14ac:dyDescent="0.2">
      <c r="CI49" s="250">
        <v>5180000</v>
      </c>
    </row>
    <row r="53" spans="2:97" x14ac:dyDescent="0.2">
      <c r="B53" s="251">
        <v>2</v>
      </c>
      <c r="C53" s="251">
        <v>3</v>
      </c>
      <c r="D53" s="251">
        <v>4</v>
      </c>
      <c r="E53" s="251">
        <v>5</v>
      </c>
      <c r="F53" s="251">
        <v>6</v>
      </c>
      <c r="G53" s="251">
        <v>7</v>
      </c>
      <c r="H53" s="251">
        <v>8</v>
      </c>
      <c r="I53" s="251">
        <v>9</v>
      </c>
      <c r="J53" s="251">
        <v>10</v>
      </c>
      <c r="K53" s="251">
        <v>11</v>
      </c>
      <c r="L53" s="251">
        <v>12</v>
      </c>
      <c r="M53" s="251">
        <v>13</v>
      </c>
      <c r="N53" s="251">
        <v>14</v>
      </c>
      <c r="O53" s="251">
        <v>15</v>
      </c>
      <c r="P53" s="251">
        <v>16</v>
      </c>
      <c r="Q53" s="251">
        <v>17</v>
      </c>
      <c r="R53" s="251">
        <v>18</v>
      </c>
      <c r="S53" s="251">
        <v>19</v>
      </c>
      <c r="T53" s="251">
        <v>20</v>
      </c>
      <c r="U53" s="251">
        <v>21</v>
      </c>
      <c r="V53" s="251">
        <v>22</v>
      </c>
      <c r="W53" s="251">
        <v>23</v>
      </c>
      <c r="X53" s="251">
        <v>24</v>
      </c>
      <c r="Y53" s="251">
        <v>25</v>
      </c>
      <c r="Z53" s="251">
        <v>26</v>
      </c>
      <c r="AA53" s="251">
        <v>27</v>
      </c>
      <c r="AB53" s="251">
        <v>28</v>
      </c>
      <c r="AC53" s="251">
        <v>29</v>
      </c>
      <c r="AD53" s="251">
        <v>30</v>
      </c>
      <c r="AE53" s="251">
        <v>31</v>
      </c>
      <c r="AF53" s="251">
        <v>32</v>
      </c>
      <c r="AG53" s="251">
        <v>33</v>
      </c>
      <c r="AH53" s="251">
        <v>34</v>
      </c>
      <c r="AI53" s="251">
        <v>35</v>
      </c>
      <c r="AJ53" s="251">
        <v>36</v>
      </c>
      <c r="AK53" s="251">
        <v>37</v>
      </c>
      <c r="AL53" s="251">
        <v>38</v>
      </c>
      <c r="AM53" s="251">
        <v>39</v>
      </c>
      <c r="AN53" s="251">
        <v>40</v>
      </c>
      <c r="AO53" s="251">
        <v>41</v>
      </c>
      <c r="AP53" s="251">
        <v>42</v>
      </c>
      <c r="AQ53" s="251">
        <v>43</v>
      </c>
      <c r="AR53" s="251">
        <v>44</v>
      </c>
      <c r="AS53" s="251">
        <v>45</v>
      </c>
      <c r="AT53" s="251">
        <v>46</v>
      </c>
      <c r="AU53" s="251">
        <v>47</v>
      </c>
      <c r="AV53" s="251">
        <v>48</v>
      </c>
      <c r="AW53" s="251">
        <v>49</v>
      </c>
      <c r="AX53" s="251">
        <v>50</v>
      </c>
      <c r="AY53" s="251">
        <v>51</v>
      </c>
      <c r="AZ53" s="251">
        <v>52</v>
      </c>
      <c r="BA53" s="251">
        <v>53</v>
      </c>
      <c r="BB53" s="251">
        <v>54</v>
      </c>
      <c r="BC53" s="251">
        <v>55</v>
      </c>
      <c r="BD53" s="251">
        <v>56</v>
      </c>
      <c r="BE53" s="251">
        <v>57</v>
      </c>
      <c r="BF53" s="251">
        <v>58</v>
      </c>
      <c r="BG53" s="251">
        <v>59</v>
      </c>
      <c r="BH53" s="251">
        <v>60</v>
      </c>
      <c r="BI53" s="251">
        <v>61</v>
      </c>
      <c r="BJ53" s="251">
        <v>62</v>
      </c>
      <c r="BK53" s="251">
        <v>63</v>
      </c>
      <c r="BL53" s="251">
        <v>64</v>
      </c>
      <c r="BM53" s="251">
        <v>65</v>
      </c>
      <c r="BN53" s="251">
        <v>66</v>
      </c>
      <c r="BO53" s="251">
        <v>67</v>
      </c>
      <c r="BP53" s="251">
        <v>68</v>
      </c>
      <c r="BQ53" s="251">
        <v>69</v>
      </c>
      <c r="BR53" s="251">
        <v>70</v>
      </c>
      <c r="BS53" s="251">
        <v>71</v>
      </c>
      <c r="BT53" s="251">
        <v>72</v>
      </c>
      <c r="BU53" s="251">
        <v>73</v>
      </c>
      <c r="BV53" s="251">
        <v>74</v>
      </c>
      <c r="BW53" s="251">
        <v>75</v>
      </c>
      <c r="BX53" s="251">
        <v>76</v>
      </c>
      <c r="BY53" s="251">
        <v>77</v>
      </c>
      <c r="BZ53" s="251">
        <v>78</v>
      </c>
      <c r="CA53" s="251">
        <v>79</v>
      </c>
      <c r="CB53" s="251">
        <v>80</v>
      </c>
      <c r="CC53" s="251">
        <v>81</v>
      </c>
      <c r="CD53" s="251">
        <v>82</v>
      </c>
      <c r="CE53" s="251">
        <v>83</v>
      </c>
      <c r="CF53" s="251">
        <v>84</v>
      </c>
      <c r="CG53" s="251">
        <v>85</v>
      </c>
      <c r="CH53" s="251">
        <v>86</v>
      </c>
      <c r="CI53" s="251">
        <v>87</v>
      </c>
      <c r="CJ53" s="251">
        <v>88</v>
      </c>
      <c r="CK53" s="251">
        <v>89</v>
      </c>
      <c r="CL53" s="251">
        <v>90</v>
      </c>
      <c r="CM53" s="251">
        <v>91</v>
      </c>
      <c r="CN53" s="251">
        <v>92</v>
      </c>
      <c r="CO53" s="251">
        <v>93</v>
      </c>
      <c r="CP53" s="251">
        <v>94</v>
      </c>
      <c r="CQ53" s="251">
        <v>95</v>
      </c>
      <c r="CR53" s="251">
        <v>96</v>
      </c>
      <c r="CS53" s="251">
        <v>97</v>
      </c>
    </row>
  </sheetData>
  <sheetProtection password="EF5C" sheet="1" objects="1" scenarios="1" selectLockedCells="1" selectUnlockedCells="1"/>
  <mergeCells count="4">
    <mergeCell ref="H2:Y2"/>
    <mergeCell ref="Z2:AQ2"/>
    <mergeCell ref="AT2:BK2"/>
    <mergeCell ref="BN2:CE2"/>
  </mergeCells>
  <pageMargins left="0.70866141732283472" right="0.70866141732283472" top="0.74803149606299213" bottom="0.74803149606299213" header="0.31496062992125984" footer="0.31496062992125984"/>
  <pageSetup paperSize="9" scale="55" orientation="landscape" r:id="rId1"/>
  <colBreaks count="5" manualBreakCount="5">
    <brk id="7" max="1048575" man="1"/>
    <brk id="25" max="1048575" man="1"/>
    <brk id="44" max="1048575" man="1"/>
    <brk id="64" max="1048575" man="1"/>
    <brk id="8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
  <sheetViews>
    <sheetView workbookViewId="0">
      <selection sqref="A1:XFD1048576"/>
    </sheetView>
  </sheetViews>
  <sheetFormatPr defaultRowHeight="12.75" x14ac:dyDescent="0.2"/>
  <cols>
    <col min="1" max="1" width="9.140625" style="586"/>
    <col min="2" max="2" width="55.7109375" style="586" bestFit="1" customWidth="1"/>
    <col min="3" max="3" width="25" style="586" bestFit="1" customWidth="1"/>
    <col min="4" max="4" width="17.42578125" style="624" bestFit="1" customWidth="1"/>
    <col min="5" max="5" width="12.7109375" style="624" bestFit="1" customWidth="1"/>
    <col min="6" max="6" width="19.140625" style="624" customWidth="1"/>
    <col min="7" max="7" width="9.140625" style="586"/>
    <col min="8" max="8" width="12.5703125" style="586" bestFit="1" customWidth="1"/>
    <col min="9" max="16384" width="9.140625" style="586"/>
  </cols>
  <sheetData>
    <row r="1" spans="2:9" x14ac:dyDescent="0.2">
      <c r="E1" s="767" t="s">
        <v>945</v>
      </c>
    </row>
    <row r="2" spans="2:9" x14ac:dyDescent="0.2">
      <c r="D2" s="624" t="s">
        <v>352</v>
      </c>
      <c r="E2" s="624" t="s">
        <v>223</v>
      </c>
      <c r="F2" s="767" t="s">
        <v>355</v>
      </c>
      <c r="H2" s="623" t="s">
        <v>860</v>
      </c>
    </row>
    <row r="3" spans="2:9" x14ac:dyDescent="0.2">
      <c r="B3" s="1233" t="s">
        <v>804</v>
      </c>
      <c r="C3" s="594" t="s">
        <v>805</v>
      </c>
      <c r="D3" s="624">
        <f>F3-E3</f>
        <v>2369.0516869074654</v>
      </c>
      <c r="E3" s="624">
        <v>73.013413092534819</v>
      </c>
      <c r="F3" s="624">
        <v>2442.0651000000003</v>
      </c>
      <c r="H3" s="624">
        <v>-73.013413092534805</v>
      </c>
      <c r="I3" s="624">
        <f>F3+H3</f>
        <v>2369.0516869074654</v>
      </c>
    </row>
    <row r="4" spans="2:9" x14ac:dyDescent="0.2">
      <c r="B4" s="1234"/>
      <c r="C4" s="594" t="s">
        <v>806</v>
      </c>
      <c r="D4" s="624">
        <f>F4-E4</f>
        <v>3399.0980905429924</v>
      </c>
      <c r="E4" s="624">
        <v>66.1077094570079</v>
      </c>
      <c r="F4" s="225">
        <v>3465.2058000000002</v>
      </c>
      <c r="H4" s="625">
        <v>-59.501067947573937</v>
      </c>
      <c r="I4" s="624">
        <f>F4+H4</f>
        <v>3405.7047320524262</v>
      </c>
    </row>
    <row r="5" spans="2:9" x14ac:dyDescent="0.2">
      <c r="B5" s="1235"/>
      <c r="C5" s="594" t="s">
        <v>807</v>
      </c>
      <c r="D5" s="624">
        <f>F5-E5</f>
        <v>3826.7644905429925</v>
      </c>
      <c r="E5" s="624">
        <v>66.1077094570079</v>
      </c>
      <c r="F5" s="624">
        <v>3892.8722000000002</v>
      </c>
      <c r="H5" s="625">
        <v>-59.501067947573937</v>
      </c>
      <c r="I5" s="624">
        <f>F5+H5</f>
        <v>3833.3711320524262</v>
      </c>
    </row>
    <row r="8" spans="2:9" x14ac:dyDescent="0.2">
      <c r="B8" s="626">
        <v>100714209.44295052</v>
      </c>
    </row>
  </sheetData>
  <sheetProtection password="EF5C" sheet="1" objects="1" scenarios="1" selectLockedCells="1" selectUnlockedCells="1"/>
  <mergeCells count="1">
    <mergeCell ref="B3:B5"/>
  </mergeCell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workbookViewId="0">
      <selection sqref="A1:XFD1048576"/>
    </sheetView>
  </sheetViews>
  <sheetFormatPr defaultRowHeight="12.75" x14ac:dyDescent="0.2"/>
  <cols>
    <col min="1" max="1" width="50.42578125" style="597" bestFit="1" customWidth="1"/>
    <col min="2" max="2" width="9.140625" style="586"/>
    <col min="3" max="3" width="11.5703125" style="646" customWidth="1"/>
    <col min="4" max="16384" width="9.140625" style="586"/>
  </cols>
  <sheetData>
    <row r="1" spans="1:5" x14ac:dyDescent="0.2">
      <c r="A1" s="586" t="s">
        <v>867</v>
      </c>
      <c r="C1" s="646">
        <v>12345</v>
      </c>
      <c r="D1" s="623"/>
    </row>
    <row r="2" spans="1:5" x14ac:dyDescent="0.2">
      <c r="A2" s="9" t="s">
        <v>177</v>
      </c>
      <c r="B2" s="9"/>
      <c r="C2" s="9" t="s">
        <v>178</v>
      </c>
      <c r="D2" s="586">
        <v>6</v>
      </c>
      <c r="E2" s="586">
        <v>6</v>
      </c>
    </row>
    <row r="3" spans="1:5" x14ac:dyDescent="0.2">
      <c r="A3" s="604" t="s">
        <v>561</v>
      </c>
      <c r="B3" s="604" t="s">
        <v>562</v>
      </c>
      <c r="C3" s="604">
        <v>206189</v>
      </c>
      <c r="D3" s="603" t="s">
        <v>563</v>
      </c>
      <c r="E3" s="603">
        <v>4</v>
      </c>
    </row>
    <row r="4" spans="1:5" x14ac:dyDescent="0.2">
      <c r="A4" s="18" t="s">
        <v>44</v>
      </c>
      <c r="B4" s="216"/>
      <c r="C4" s="646">
        <v>2400</v>
      </c>
    </row>
    <row r="5" spans="1:5" x14ac:dyDescent="0.2">
      <c r="A5" s="18" t="s">
        <v>125</v>
      </c>
      <c r="C5" s="646">
        <v>5414</v>
      </c>
    </row>
    <row r="6" spans="1:5" x14ac:dyDescent="0.2">
      <c r="A6" s="604" t="s">
        <v>45</v>
      </c>
      <c r="B6" s="604" t="s">
        <v>503</v>
      </c>
      <c r="C6" s="604">
        <v>2443</v>
      </c>
      <c r="D6" s="603" t="s">
        <v>507</v>
      </c>
      <c r="E6" s="603">
        <v>1</v>
      </c>
    </row>
    <row r="7" spans="1:5" x14ac:dyDescent="0.2">
      <c r="A7" s="18" t="s">
        <v>155</v>
      </c>
      <c r="B7" s="216"/>
      <c r="C7" s="646">
        <v>2442</v>
      </c>
    </row>
    <row r="8" spans="1:5" x14ac:dyDescent="0.2">
      <c r="A8" s="605" t="s">
        <v>564</v>
      </c>
      <c r="B8" s="604"/>
      <c r="C8" s="605" t="s">
        <v>565</v>
      </c>
      <c r="D8" s="603" t="s">
        <v>563</v>
      </c>
      <c r="E8" s="603">
        <v>4</v>
      </c>
    </row>
    <row r="9" spans="1:5" x14ac:dyDescent="0.2">
      <c r="A9" s="604" t="s">
        <v>47</v>
      </c>
      <c r="B9" s="604" t="s">
        <v>505</v>
      </c>
      <c r="C9" s="604">
        <v>2629</v>
      </c>
      <c r="D9" s="603" t="s">
        <v>507</v>
      </c>
      <c r="E9" s="603">
        <v>1</v>
      </c>
    </row>
    <row r="10" spans="1:5" x14ac:dyDescent="0.2">
      <c r="A10" s="18" t="s">
        <v>48</v>
      </c>
      <c r="B10" s="216"/>
      <c r="C10" s="646">
        <v>2509</v>
      </c>
    </row>
    <row r="11" spans="1:5" x14ac:dyDescent="0.2">
      <c r="A11" s="604" t="s">
        <v>36</v>
      </c>
      <c r="B11" s="604" t="s">
        <v>506</v>
      </c>
      <c r="C11" s="604">
        <v>1014</v>
      </c>
      <c r="D11" s="603" t="s">
        <v>504</v>
      </c>
      <c r="E11" s="603">
        <v>2</v>
      </c>
    </row>
    <row r="12" spans="1:5" x14ac:dyDescent="0.2">
      <c r="A12" s="18" t="s">
        <v>49</v>
      </c>
      <c r="B12" s="216"/>
      <c r="C12" s="646">
        <v>2005</v>
      </c>
    </row>
    <row r="13" spans="1:5" x14ac:dyDescent="0.2">
      <c r="A13" s="604" t="s">
        <v>50</v>
      </c>
      <c r="B13" s="604" t="s">
        <v>508</v>
      </c>
      <c r="C13" s="604">
        <v>2464</v>
      </c>
      <c r="D13" s="603" t="s">
        <v>507</v>
      </c>
      <c r="E13" s="603">
        <v>1</v>
      </c>
    </row>
    <row r="14" spans="1:5" x14ac:dyDescent="0.2">
      <c r="A14" s="604" t="s">
        <v>51</v>
      </c>
      <c r="B14" s="604" t="s">
        <v>509</v>
      </c>
      <c r="C14" s="604">
        <v>2004</v>
      </c>
      <c r="D14" s="603" t="s">
        <v>507</v>
      </c>
      <c r="E14" s="603">
        <v>1</v>
      </c>
    </row>
    <row r="15" spans="1:5" x14ac:dyDescent="0.2">
      <c r="A15" s="604" t="s">
        <v>52</v>
      </c>
      <c r="B15" s="604" t="s">
        <v>510</v>
      </c>
      <c r="C15" s="604">
        <v>2405</v>
      </c>
      <c r="D15" s="603" t="s">
        <v>507</v>
      </c>
      <c r="E15" s="603">
        <v>1</v>
      </c>
    </row>
    <row r="16" spans="1:5" x14ac:dyDescent="0.2">
      <c r="A16" s="604" t="s">
        <v>566</v>
      </c>
      <c r="B16" s="604" t="s">
        <v>567</v>
      </c>
      <c r="C16" s="604" t="s">
        <v>568</v>
      </c>
      <c r="D16" s="603" t="s">
        <v>563</v>
      </c>
      <c r="E16" s="603">
        <v>4</v>
      </c>
    </row>
    <row r="17" spans="1:5" ht="15" x14ac:dyDescent="0.25">
      <c r="A17" s="665" t="s">
        <v>573</v>
      </c>
      <c r="B17" s="196"/>
      <c r="C17" s="495" t="s">
        <v>574</v>
      </c>
      <c r="D17" s="623" t="s">
        <v>563</v>
      </c>
      <c r="E17" s="603">
        <v>4</v>
      </c>
    </row>
    <row r="18" spans="1:5" x14ac:dyDescent="0.2">
      <c r="A18" s="491" t="s">
        <v>569</v>
      </c>
      <c r="B18" s="654"/>
      <c r="C18" s="654" t="s">
        <v>570</v>
      </c>
      <c r="D18" s="623" t="s">
        <v>563</v>
      </c>
      <c r="E18" s="603">
        <v>4</v>
      </c>
    </row>
    <row r="19" spans="1:5" x14ac:dyDescent="0.2">
      <c r="A19" s="665" t="s">
        <v>571</v>
      </c>
      <c r="B19" s="196"/>
      <c r="C19" s="494" t="s">
        <v>572</v>
      </c>
      <c r="D19" s="623" t="s">
        <v>563</v>
      </c>
      <c r="E19" s="603">
        <v>4</v>
      </c>
    </row>
    <row r="20" spans="1:5" x14ac:dyDescent="0.2">
      <c r="A20" s="604" t="s">
        <v>53</v>
      </c>
      <c r="B20" s="604" t="s">
        <v>511</v>
      </c>
      <c r="C20" s="604">
        <v>3525</v>
      </c>
      <c r="D20" s="603" t="s">
        <v>507</v>
      </c>
      <c r="E20" s="603">
        <v>1</v>
      </c>
    </row>
    <row r="21" spans="1:5" x14ac:dyDescent="0.2">
      <c r="A21" s="605" t="s">
        <v>575</v>
      </c>
      <c r="B21" s="604"/>
      <c r="C21" s="605" t="s">
        <v>576</v>
      </c>
      <c r="D21" s="603" t="s">
        <v>563</v>
      </c>
      <c r="E21" s="603">
        <v>4</v>
      </c>
    </row>
    <row r="22" spans="1:5" x14ac:dyDescent="0.2">
      <c r="A22" s="604" t="s">
        <v>54</v>
      </c>
      <c r="B22" s="604" t="s">
        <v>512</v>
      </c>
      <c r="C22" s="604">
        <v>5201</v>
      </c>
      <c r="D22" s="603" t="s">
        <v>507</v>
      </c>
      <c r="E22" s="603">
        <v>1</v>
      </c>
    </row>
    <row r="23" spans="1:5" x14ac:dyDescent="0.2">
      <c r="A23" s="604" t="s">
        <v>577</v>
      </c>
      <c r="B23" s="604" t="s">
        <v>578</v>
      </c>
      <c r="C23" s="604">
        <v>206124</v>
      </c>
      <c r="D23" s="603" t="s">
        <v>579</v>
      </c>
      <c r="E23" s="603">
        <v>3</v>
      </c>
    </row>
    <row r="24" spans="1:5" x14ac:dyDescent="0.2">
      <c r="A24" s="604" t="s">
        <v>56</v>
      </c>
      <c r="B24" s="604" t="s">
        <v>514</v>
      </c>
      <c r="C24" s="604">
        <v>2433</v>
      </c>
      <c r="D24" s="603" t="s">
        <v>507</v>
      </c>
      <c r="E24" s="603">
        <v>1</v>
      </c>
    </row>
    <row r="25" spans="1:5" x14ac:dyDescent="0.2">
      <c r="A25" s="18" t="s">
        <v>57</v>
      </c>
      <c r="B25" s="216"/>
      <c r="C25" s="646">
        <v>2432</v>
      </c>
    </row>
    <row r="26" spans="1:5" x14ac:dyDescent="0.2">
      <c r="A26" s="604" t="s">
        <v>580</v>
      </c>
      <c r="B26" s="604" t="s">
        <v>581</v>
      </c>
      <c r="C26" s="604" t="s">
        <v>582</v>
      </c>
      <c r="D26" s="603" t="s">
        <v>579</v>
      </c>
      <c r="E26" s="603">
        <v>3</v>
      </c>
    </row>
    <row r="27" spans="1:5" x14ac:dyDescent="0.2">
      <c r="A27" s="604" t="s">
        <v>461</v>
      </c>
      <c r="B27" s="604" t="s">
        <v>515</v>
      </c>
      <c r="C27" s="604">
        <v>2447</v>
      </c>
      <c r="D27" s="603" t="s">
        <v>507</v>
      </c>
      <c r="E27" s="603">
        <v>1</v>
      </c>
    </row>
    <row r="28" spans="1:5" x14ac:dyDescent="0.2">
      <c r="A28" s="604" t="s">
        <v>60</v>
      </c>
      <c r="B28" s="604" t="s">
        <v>516</v>
      </c>
      <c r="C28" s="604">
        <v>2512</v>
      </c>
      <c r="D28" s="603" t="s">
        <v>507</v>
      </c>
      <c r="E28" s="603">
        <v>1</v>
      </c>
    </row>
    <row r="29" spans="1:5" x14ac:dyDescent="0.2">
      <c r="A29" s="604" t="s">
        <v>583</v>
      </c>
      <c r="B29" s="604" t="s">
        <v>584</v>
      </c>
      <c r="C29" s="604">
        <v>206126</v>
      </c>
      <c r="D29" s="603" t="s">
        <v>579</v>
      </c>
      <c r="E29" s="603">
        <v>3</v>
      </c>
    </row>
    <row r="30" spans="1:5" x14ac:dyDescent="0.2">
      <c r="A30" s="604" t="s">
        <v>585</v>
      </c>
      <c r="B30" s="604" t="s">
        <v>586</v>
      </c>
      <c r="C30" s="604">
        <v>206111</v>
      </c>
      <c r="D30" s="603" t="s">
        <v>563</v>
      </c>
      <c r="E30" s="603">
        <v>4</v>
      </c>
    </row>
    <row r="31" spans="1:5" x14ac:dyDescent="0.2">
      <c r="A31" s="604" t="s">
        <v>587</v>
      </c>
      <c r="B31" s="604" t="s">
        <v>588</v>
      </c>
      <c r="C31" s="604">
        <v>206091</v>
      </c>
      <c r="D31" s="603" t="s">
        <v>563</v>
      </c>
      <c r="E31" s="603">
        <v>4</v>
      </c>
    </row>
    <row r="32" spans="1:5" x14ac:dyDescent="0.2">
      <c r="A32" s="604" t="s">
        <v>61</v>
      </c>
      <c r="B32" s="604" t="s">
        <v>517</v>
      </c>
      <c r="C32" s="604">
        <v>2456</v>
      </c>
      <c r="D32" s="603" t="s">
        <v>507</v>
      </c>
      <c r="E32" s="603">
        <v>1</v>
      </c>
    </row>
    <row r="33" spans="1:5" x14ac:dyDescent="0.2">
      <c r="A33" s="604" t="s">
        <v>37</v>
      </c>
      <c r="B33" s="604" t="s">
        <v>518</v>
      </c>
      <c r="C33" s="604">
        <v>1017</v>
      </c>
      <c r="D33" s="603" t="s">
        <v>504</v>
      </c>
      <c r="E33" s="603">
        <v>2</v>
      </c>
    </row>
    <row r="34" spans="1:5" x14ac:dyDescent="0.2">
      <c r="A34" s="604" t="s">
        <v>62</v>
      </c>
      <c r="B34" s="604" t="s">
        <v>519</v>
      </c>
      <c r="C34" s="604">
        <v>2449</v>
      </c>
      <c r="D34" s="603" t="s">
        <v>507</v>
      </c>
      <c r="E34" s="603">
        <v>1</v>
      </c>
    </row>
    <row r="35" spans="1:5" x14ac:dyDescent="0.2">
      <c r="A35" s="18" t="s">
        <v>63</v>
      </c>
      <c r="B35" s="216" t="s">
        <v>1032</v>
      </c>
      <c r="C35" s="604">
        <v>2448</v>
      </c>
      <c r="D35" s="603"/>
      <c r="E35" s="603"/>
    </row>
    <row r="36" spans="1:5" x14ac:dyDescent="0.2">
      <c r="A36" s="604" t="s">
        <v>38</v>
      </c>
      <c r="B36" s="604" t="s">
        <v>520</v>
      </c>
      <c r="C36" s="604">
        <v>1006</v>
      </c>
      <c r="D36" s="603" t="s">
        <v>504</v>
      </c>
      <c r="E36" s="603">
        <v>2</v>
      </c>
    </row>
    <row r="37" spans="1:5" x14ac:dyDescent="0.2">
      <c r="A37" s="604" t="s">
        <v>64</v>
      </c>
      <c r="B37" s="604" t="s">
        <v>522</v>
      </c>
      <c r="C37" s="604">
        <v>2467</v>
      </c>
      <c r="D37" s="603" t="s">
        <v>507</v>
      </c>
      <c r="E37" s="603">
        <v>1</v>
      </c>
    </row>
    <row r="38" spans="1:5" x14ac:dyDescent="0.2">
      <c r="A38" s="18" t="s">
        <v>127</v>
      </c>
      <c r="C38" s="646">
        <v>5402</v>
      </c>
    </row>
    <row r="39" spans="1:5" x14ac:dyDescent="0.2">
      <c r="A39" s="18" t="s">
        <v>65</v>
      </c>
      <c r="B39" s="216"/>
      <c r="C39" s="646">
        <v>2455</v>
      </c>
    </row>
    <row r="40" spans="1:5" x14ac:dyDescent="0.2">
      <c r="A40" s="18" t="s">
        <v>66</v>
      </c>
      <c r="B40" s="216"/>
      <c r="C40" s="646">
        <v>5203</v>
      </c>
    </row>
    <row r="41" spans="1:5" x14ac:dyDescent="0.2">
      <c r="A41" s="766" t="s">
        <v>67</v>
      </c>
      <c r="B41" s="604" t="s">
        <v>524</v>
      </c>
      <c r="C41" s="604">
        <v>2451</v>
      </c>
      <c r="D41" s="603" t="s">
        <v>507</v>
      </c>
      <c r="E41" s="603">
        <v>1</v>
      </c>
    </row>
    <row r="42" spans="1:5" x14ac:dyDescent="0.2">
      <c r="A42" s="605" t="s">
        <v>589</v>
      </c>
      <c r="B42" s="604"/>
      <c r="C42" s="605" t="s">
        <v>590</v>
      </c>
      <c r="D42" s="603" t="s">
        <v>563</v>
      </c>
      <c r="E42" s="603">
        <v>4</v>
      </c>
    </row>
    <row r="43" spans="1:5" x14ac:dyDescent="0.2">
      <c r="A43" s="604" t="s">
        <v>591</v>
      </c>
      <c r="B43" s="604" t="s">
        <v>592</v>
      </c>
      <c r="C43" s="604">
        <v>206128</v>
      </c>
      <c r="D43" s="606" t="s">
        <v>579</v>
      </c>
      <c r="E43" s="603">
        <v>3</v>
      </c>
    </row>
    <row r="44" spans="1:5" x14ac:dyDescent="0.2">
      <c r="A44" s="18" t="s">
        <v>791</v>
      </c>
      <c r="C44" s="646">
        <v>4002</v>
      </c>
    </row>
    <row r="45" spans="1:5" x14ac:dyDescent="0.2">
      <c r="A45" s="332" t="s">
        <v>797</v>
      </c>
      <c r="B45" s="604" t="s">
        <v>545</v>
      </c>
      <c r="C45" s="604">
        <v>2430</v>
      </c>
      <c r="D45" s="606" t="s">
        <v>507</v>
      </c>
      <c r="E45" s="603">
        <v>1</v>
      </c>
    </row>
    <row r="46" spans="1:5" ht="25.5" x14ac:dyDescent="0.2">
      <c r="A46" s="499" t="s">
        <v>593</v>
      </c>
      <c r="B46" s="500"/>
      <c r="C46" s="500" t="s">
        <v>594</v>
      </c>
      <c r="D46" s="623" t="s">
        <v>579</v>
      </c>
      <c r="E46" s="586">
        <v>3</v>
      </c>
    </row>
    <row r="47" spans="1:5" x14ac:dyDescent="0.2">
      <c r="A47" s="18" t="s">
        <v>116</v>
      </c>
      <c r="C47" s="646">
        <v>4608</v>
      </c>
    </row>
    <row r="48" spans="1:5" x14ac:dyDescent="0.2">
      <c r="A48" s="18" t="s">
        <v>68</v>
      </c>
      <c r="B48" s="216"/>
      <c r="C48" s="646">
        <v>2409</v>
      </c>
    </row>
    <row r="49" spans="1:5" x14ac:dyDescent="0.2">
      <c r="A49" s="499" t="s">
        <v>595</v>
      </c>
      <c r="B49" s="500"/>
      <c r="C49" s="500" t="s">
        <v>596</v>
      </c>
      <c r="D49" s="623" t="s">
        <v>563</v>
      </c>
      <c r="E49" s="603">
        <v>4</v>
      </c>
    </row>
    <row r="50" spans="1:5" x14ac:dyDescent="0.2">
      <c r="A50" s="607" t="s">
        <v>908</v>
      </c>
      <c r="B50" s="608"/>
      <c r="C50" s="647" t="s">
        <v>617</v>
      </c>
      <c r="D50" s="603" t="s">
        <v>579</v>
      </c>
      <c r="E50" s="603">
        <v>3</v>
      </c>
    </row>
    <row r="51" spans="1:5" x14ac:dyDescent="0.2">
      <c r="A51" s="609" t="s">
        <v>898</v>
      </c>
      <c r="B51" s="610"/>
      <c r="C51" s="648">
        <v>205921</v>
      </c>
      <c r="D51" s="603" t="s">
        <v>579</v>
      </c>
      <c r="E51" s="603">
        <v>3</v>
      </c>
    </row>
    <row r="52" spans="1:5" x14ac:dyDescent="0.2">
      <c r="A52" s="609" t="s">
        <v>897</v>
      </c>
      <c r="B52" s="610"/>
      <c r="C52" s="648">
        <v>205999</v>
      </c>
      <c r="D52" s="603" t="s">
        <v>579</v>
      </c>
      <c r="E52" s="603">
        <v>3</v>
      </c>
    </row>
    <row r="53" spans="1:5" x14ac:dyDescent="0.2">
      <c r="A53" s="607" t="s">
        <v>896</v>
      </c>
      <c r="B53" s="608"/>
      <c r="C53" s="647" t="s">
        <v>598</v>
      </c>
      <c r="D53" s="606" t="s">
        <v>579</v>
      </c>
      <c r="E53" s="603">
        <v>3</v>
      </c>
    </row>
    <row r="54" spans="1:5" x14ac:dyDescent="0.2">
      <c r="A54" s="332" t="s">
        <v>1016</v>
      </c>
      <c r="B54" s="324"/>
      <c r="C54" s="324" t="s">
        <v>604</v>
      </c>
      <c r="D54" s="623" t="s">
        <v>579</v>
      </c>
      <c r="E54" s="586">
        <v>3</v>
      </c>
    </row>
    <row r="55" spans="1:5" x14ac:dyDescent="0.2">
      <c r="A55" s="611" t="s">
        <v>899</v>
      </c>
      <c r="B55" s="610"/>
      <c r="C55" s="648">
        <v>205922</v>
      </c>
      <c r="D55" s="603" t="s">
        <v>579</v>
      </c>
      <c r="E55" s="603">
        <v>3</v>
      </c>
    </row>
    <row r="56" spans="1:5" x14ac:dyDescent="0.2">
      <c r="A56" s="332" t="s">
        <v>1014</v>
      </c>
      <c r="B56" s="324"/>
      <c r="C56" s="324" t="s">
        <v>601</v>
      </c>
      <c r="D56" s="623" t="s">
        <v>579</v>
      </c>
      <c r="E56" s="586">
        <v>3</v>
      </c>
    </row>
    <row r="57" spans="1:5" x14ac:dyDescent="0.2">
      <c r="A57" s="332" t="s">
        <v>1015</v>
      </c>
      <c r="B57" s="324"/>
      <c r="C57" s="324" t="s">
        <v>602</v>
      </c>
      <c r="D57" s="623" t="s">
        <v>579</v>
      </c>
      <c r="E57" s="586">
        <v>3</v>
      </c>
    </row>
    <row r="58" spans="1:5" x14ac:dyDescent="0.2">
      <c r="A58" s="607" t="s">
        <v>900</v>
      </c>
      <c r="B58" s="608"/>
      <c r="C58" s="647" t="s">
        <v>603</v>
      </c>
      <c r="D58" s="603" t="s">
        <v>579</v>
      </c>
      <c r="E58" s="603">
        <v>3</v>
      </c>
    </row>
    <row r="59" spans="1:5" x14ac:dyDescent="0.2">
      <c r="A59" s="612" t="s">
        <v>901</v>
      </c>
      <c r="B59" s="608"/>
      <c r="C59" s="647">
        <v>205849</v>
      </c>
      <c r="D59" s="603" t="s">
        <v>579</v>
      </c>
      <c r="E59" s="603">
        <v>3</v>
      </c>
    </row>
    <row r="60" spans="1:5" x14ac:dyDescent="0.2">
      <c r="A60" s="332" t="s">
        <v>1017</v>
      </c>
      <c r="B60" s="324"/>
      <c r="C60" s="324" t="s">
        <v>605</v>
      </c>
      <c r="D60" s="623" t="s">
        <v>579</v>
      </c>
      <c r="E60" s="586">
        <v>3</v>
      </c>
    </row>
    <row r="61" spans="1:5" x14ac:dyDescent="0.2">
      <c r="A61" s="332" t="s">
        <v>1026</v>
      </c>
      <c r="B61" s="324"/>
      <c r="C61" s="324" t="s">
        <v>599</v>
      </c>
      <c r="D61" s="623" t="s">
        <v>579</v>
      </c>
      <c r="E61" s="586">
        <v>3</v>
      </c>
    </row>
    <row r="62" spans="1:5" x14ac:dyDescent="0.2">
      <c r="A62" s="609" t="s">
        <v>902</v>
      </c>
      <c r="B62" s="610"/>
      <c r="C62" s="648" t="s">
        <v>606</v>
      </c>
      <c r="D62" s="603" t="s">
        <v>579</v>
      </c>
      <c r="E62" s="603">
        <v>3</v>
      </c>
    </row>
    <row r="63" spans="1:5" x14ac:dyDescent="0.2">
      <c r="A63" s="800" t="s">
        <v>1018</v>
      </c>
      <c r="B63" s="509"/>
      <c r="C63" s="509" t="s">
        <v>607</v>
      </c>
      <c r="D63" s="623" t="s">
        <v>579</v>
      </c>
      <c r="E63" s="586">
        <v>3</v>
      </c>
    </row>
    <row r="64" spans="1:5" x14ac:dyDescent="0.2">
      <c r="A64" s="612" t="s">
        <v>903</v>
      </c>
      <c r="B64" s="610"/>
      <c r="C64" s="648">
        <v>2</v>
      </c>
      <c r="D64" s="603" t="s">
        <v>579</v>
      </c>
      <c r="E64" s="603">
        <v>3</v>
      </c>
    </row>
    <row r="65" spans="1:5" x14ac:dyDescent="0.2">
      <c r="A65" s="607" t="s">
        <v>904</v>
      </c>
      <c r="B65" s="608"/>
      <c r="C65" s="647">
        <v>205956</v>
      </c>
      <c r="D65" s="603" t="s">
        <v>579</v>
      </c>
      <c r="E65" s="603">
        <v>3</v>
      </c>
    </row>
    <row r="66" spans="1:5" x14ac:dyDescent="0.2">
      <c r="A66" s="664" t="s">
        <v>1019</v>
      </c>
      <c r="B66" s="608"/>
      <c r="C66" s="494" t="s">
        <v>608</v>
      </c>
      <c r="D66" s="623" t="s">
        <v>579</v>
      </c>
      <c r="E66" s="586">
        <v>3</v>
      </c>
    </row>
    <row r="67" spans="1:5" x14ac:dyDescent="0.2">
      <c r="A67" s="510" t="s">
        <v>1021</v>
      </c>
      <c r="B67" s="608"/>
      <c r="C67" s="494" t="s">
        <v>610</v>
      </c>
      <c r="D67" s="623" t="s">
        <v>579</v>
      </c>
      <c r="E67" s="586">
        <v>3</v>
      </c>
    </row>
    <row r="68" spans="1:5" x14ac:dyDescent="0.2">
      <c r="A68" s="612" t="s">
        <v>1022</v>
      </c>
      <c r="B68" s="608"/>
      <c r="C68" s="608" t="s">
        <v>611</v>
      </c>
      <c r="D68" s="623" t="s">
        <v>579</v>
      </c>
      <c r="E68" s="586">
        <v>3</v>
      </c>
    </row>
    <row r="69" spans="1:5" x14ac:dyDescent="0.2">
      <c r="A69" s="510" t="s">
        <v>1023</v>
      </c>
      <c r="B69" s="608"/>
      <c r="C69" s="802" t="s">
        <v>614</v>
      </c>
      <c r="D69" s="623" t="s">
        <v>579</v>
      </c>
      <c r="E69" s="586">
        <v>3</v>
      </c>
    </row>
    <row r="70" spans="1:5" x14ac:dyDescent="0.2">
      <c r="A70" s="609" t="s">
        <v>907</v>
      </c>
      <c r="B70" s="608"/>
      <c r="C70" s="647" t="s">
        <v>613</v>
      </c>
      <c r="D70" s="603" t="s">
        <v>579</v>
      </c>
      <c r="E70" s="603">
        <v>3</v>
      </c>
    </row>
    <row r="71" spans="1:5" x14ac:dyDescent="0.2">
      <c r="A71" s="609" t="s">
        <v>906</v>
      </c>
      <c r="B71" s="608"/>
      <c r="C71" s="647" t="s">
        <v>615</v>
      </c>
      <c r="D71" s="603" t="s">
        <v>579</v>
      </c>
      <c r="E71" s="603">
        <v>3</v>
      </c>
    </row>
    <row r="72" spans="1:5" x14ac:dyDescent="0.2">
      <c r="A72" s="607" t="s">
        <v>905</v>
      </c>
      <c r="B72" s="608"/>
      <c r="C72" s="647" t="s">
        <v>612</v>
      </c>
      <c r="D72" s="603" t="s">
        <v>579</v>
      </c>
      <c r="E72" s="603">
        <v>3</v>
      </c>
    </row>
    <row r="73" spans="1:5" x14ac:dyDescent="0.2">
      <c r="A73" s="612" t="s">
        <v>1024</v>
      </c>
      <c r="B73" s="608"/>
      <c r="C73" s="608">
        <v>206043</v>
      </c>
      <c r="D73" s="623" t="s">
        <v>579</v>
      </c>
      <c r="E73" s="586">
        <v>3</v>
      </c>
    </row>
    <row r="74" spans="1:5" x14ac:dyDescent="0.2">
      <c r="A74" s="611" t="s">
        <v>909</v>
      </c>
      <c r="B74" s="608"/>
      <c r="C74" s="647" t="s">
        <v>618</v>
      </c>
      <c r="D74" s="603" t="s">
        <v>579</v>
      </c>
      <c r="E74" s="603">
        <v>3</v>
      </c>
    </row>
    <row r="75" spans="1:5" x14ac:dyDescent="0.2">
      <c r="A75" s="801" t="s">
        <v>1020</v>
      </c>
      <c r="B75" s="518"/>
      <c r="C75" s="518" t="s">
        <v>609</v>
      </c>
      <c r="D75" s="623" t="s">
        <v>579</v>
      </c>
      <c r="E75" s="586">
        <v>3</v>
      </c>
    </row>
    <row r="76" spans="1:5" x14ac:dyDescent="0.2">
      <c r="A76" s="803" t="s">
        <v>1025</v>
      </c>
      <c r="B76" s="519"/>
      <c r="C76" s="519" t="s">
        <v>616</v>
      </c>
      <c r="D76" s="623" t="s">
        <v>579</v>
      </c>
      <c r="E76" s="586">
        <v>3</v>
      </c>
    </row>
    <row r="77" spans="1:5" ht="15" x14ac:dyDescent="0.2">
      <c r="A77" s="611" t="s">
        <v>910</v>
      </c>
      <c r="B77" s="614"/>
      <c r="C77" s="649" t="s">
        <v>619</v>
      </c>
      <c r="D77" s="603" t="s">
        <v>579</v>
      </c>
      <c r="E77" s="603">
        <v>3</v>
      </c>
    </row>
    <row r="78" spans="1:5" x14ac:dyDescent="0.2">
      <c r="A78" s="615" t="s">
        <v>911</v>
      </c>
      <c r="B78" s="616"/>
      <c r="C78" s="650" t="s">
        <v>620</v>
      </c>
      <c r="D78" s="603" t="s">
        <v>579</v>
      </c>
      <c r="E78" s="603">
        <v>3</v>
      </c>
    </row>
    <row r="79" spans="1:5" x14ac:dyDescent="0.2">
      <c r="A79" s="332" t="s">
        <v>1027</v>
      </c>
      <c r="B79" s="324"/>
      <c r="C79" s="324" t="s">
        <v>600</v>
      </c>
      <c r="D79" s="623" t="s">
        <v>579</v>
      </c>
      <c r="E79" s="586">
        <v>3</v>
      </c>
    </row>
    <row r="80" spans="1:5" x14ac:dyDescent="0.2">
      <c r="A80" s="617" t="s">
        <v>621</v>
      </c>
      <c r="B80" s="604"/>
      <c r="C80" s="618" t="s">
        <v>622</v>
      </c>
      <c r="D80" s="603" t="s">
        <v>579</v>
      </c>
      <c r="E80" s="603">
        <v>3</v>
      </c>
    </row>
    <row r="81" spans="1:5" x14ac:dyDescent="0.2">
      <c r="A81" s="604" t="s">
        <v>623</v>
      </c>
      <c r="B81" s="604" t="s">
        <v>624</v>
      </c>
      <c r="C81" s="604" t="s">
        <v>625</v>
      </c>
      <c r="D81" s="603" t="s">
        <v>579</v>
      </c>
      <c r="E81" s="603">
        <v>3</v>
      </c>
    </row>
    <row r="82" spans="1:5" x14ac:dyDescent="0.2">
      <c r="A82" s="18" t="s">
        <v>172</v>
      </c>
      <c r="C82" s="646">
        <v>4178</v>
      </c>
    </row>
    <row r="83" spans="1:5" x14ac:dyDescent="0.2">
      <c r="A83" s="18" t="s">
        <v>159</v>
      </c>
      <c r="B83" s="604" t="s">
        <v>547</v>
      </c>
      <c r="C83" s="646">
        <v>3158</v>
      </c>
      <c r="D83" s="623" t="s">
        <v>507</v>
      </c>
      <c r="E83" s="586">
        <v>1</v>
      </c>
    </row>
    <row r="84" spans="1:5" x14ac:dyDescent="0.2">
      <c r="A84" s="604" t="s">
        <v>69</v>
      </c>
      <c r="B84" s="604" t="s">
        <v>525</v>
      </c>
      <c r="C84" s="604">
        <v>2619</v>
      </c>
      <c r="D84" s="603" t="s">
        <v>507</v>
      </c>
      <c r="E84" s="603">
        <v>1</v>
      </c>
    </row>
    <row r="85" spans="1:5" x14ac:dyDescent="0.2">
      <c r="A85" s="604" t="s">
        <v>628</v>
      </c>
      <c r="B85" s="604"/>
      <c r="C85" s="605" t="s">
        <v>629</v>
      </c>
      <c r="D85" s="603" t="s">
        <v>579</v>
      </c>
      <c r="E85" s="603">
        <v>3</v>
      </c>
    </row>
    <row r="86" spans="1:5" x14ac:dyDescent="0.2">
      <c r="A86" s="604" t="s">
        <v>630</v>
      </c>
      <c r="B86" s="604" t="s">
        <v>631</v>
      </c>
      <c r="C86" s="604">
        <v>258417</v>
      </c>
      <c r="D86" s="603" t="s">
        <v>579</v>
      </c>
      <c r="E86" s="603">
        <v>3</v>
      </c>
    </row>
    <row r="87" spans="1:5" x14ac:dyDescent="0.2">
      <c r="A87" s="604" t="s">
        <v>632</v>
      </c>
      <c r="B87" s="604" t="s">
        <v>633</v>
      </c>
      <c r="C87" s="604" t="s">
        <v>634</v>
      </c>
      <c r="D87" s="603" t="s">
        <v>563</v>
      </c>
      <c r="E87" s="603">
        <v>4</v>
      </c>
    </row>
    <row r="88" spans="1:5" x14ac:dyDescent="0.2">
      <c r="A88" s="604" t="s">
        <v>635</v>
      </c>
      <c r="B88" s="604" t="s">
        <v>636</v>
      </c>
      <c r="C88" s="604" t="s">
        <v>637</v>
      </c>
      <c r="D88" s="603" t="s">
        <v>579</v>
      </c>
      <c r="E88" s="603">
        <v>3</v>
      </c>
    </row>
    <row r="89" spans="1:5" x14ac:dyDescent="0.2">
      <c r="A89" s="604" t="s">
        <v>70</v>
      </c>
      <c r="B89" s="604" t="s">
        <v>526</v>
      </c>
      <c r="C89" s="604">
        <v>2518</v>
      </c>
      <c r="D89" s="603" t="s">
        <v>507</v>
      </c>
      <c r="E89" s="603">
        <v>1</v>
      </c>
    </row>
    <row r="90" spans="1:5" x14ac:dyDescent="0.2">
      <c r="A90" s="604" t="s">
        <v>638</v>
      </c>
      <c r="B90" s="604" t="s">
        <v>639</v>
      </c>
      <c r="C90" s="604">
        <v>206106</v>
      </c>
      <c r="D90" s="603" t="s">
        <v>563</v>
      </c>
      <c r="E90" s="603">
        <v>4</v>
      </c>
    </row>
    <row r="91" spans="1:5" x14ac:dyDescent="0.2">
      <c r="A91" s="605" t="s">
        <v>640</v>
      </c>
      <c r="B91" s="604"/>
      <c r="C91" s="605" t="s">
        <v>641</v>
      </c>
      <c r="D91" s="603" t="s">
        <v>563</v>
      </c>
      <c r="E91" s="603">
        <v>4</v>
      </c>
    </row>
    <row r="92" spans="1:5" x14ac:dyDescent="0.2">
      <c r="A92" s="18" t="s">
        <v>71</v>
      </c>
      <c r="B92" s="216"/>
      <c r="C92" s="646">
        <v>2457</v>
      </c>
    </row>
    <row r="93" spans="1:5" x14ac:dyDescent="0.2">
      <c r="A93" s="18" t="s">
        <v>160</v>
      </c>
      <c r="B93" s="604"/>
      <c r="C93" s="604">
        <v>2010</v>
      </c>
      <c r="D93" s="603" t="s">
        <v>507</v>
      </c>
      <c r="E93" s="603">
        <v>1</v>
      </c>
    </row>
    <row r="94" spans="1:5" x14ac:dyDescent="0.2">
      <c r="A94" s="604" t="s">
        <v>73</v>
      </c>
      <c r="B94" s="604" t="s">
        <v>529</v>
      </c>
      <c r="C94" s="604">
        <v>2002</v>
      </c>
      <c r="D94" s="603" t="s">
        <v>507</v>
      </c>
      <c r="E94" s="603">
        <v>1</v>
      </c>
    </row>
    <row r="95" spans="1:5" x14ac:dyDescent="0.2">
      <c r="A95" s="604" t="s">
        <v>74</v>
      </c>
      <c r="B95" s="604" t="s">
        <v>530</v>
      </c>
      <c r="C95" s="604">
        <v>3544</v>
      </c>
      <c r="D95" s="603" t="s">
        <v>507</v>
      </c>
      <c r="E95" s="603">
        <v>1</v>
      </c>
    </row>
    <row r="96" spans="1:5" x14ac:dyDescent="0.2">
      <c r="A96" s="604" t="s">
        <v>39</v>
      </c>
      <c r="B96" s="604" t="s">
        <v>531</v>
      </c>
      <c r="C96" s="604">
        <v>1008</v>
      </c>
      <c r="D96" s="603" t="s">
        <v>504</v>
      </c>
      <c r="E96" s="603">
        <v>2</v>
      </c>
    </row>
    <row r="97" spans="1:5" x14ac:dyDescent="0.2">
      <c r="A97" s="604" t="s">
        <v>642</v>
      </c>
      <c r="B97" s="604" t="s">
        <v>586</v>
      </c>
      <c r="C97" s="604" t="s">
        <v>643</v>
      </c>
      <c r="D97" s="603" t="s">
        <v>579</v>
      </c>
      <c r="E97" s="603">
        <v>3</v>
      </c>
    </row>
    <row r="98" spans="1:5" x14ac:dyDescent="0.2">
      <c r="A98" s="604" t="s">
        <v>161</v>
      </c>
      <c r="B98" s="604" t="s">
        <v>532</v>
      </c>
      <c r="C98" s="604">
        <v>2006</v>
      </c>
      <c r="D98" s="603" t="s">
        <v>507</v>
      </c>
      <c r="E98" s="603">
        <v>1</v>
      </c>
    </row>
    <row r="99" spans="1:5" x14ac:dyDescent="0.2">
      <c r="A99" s="605" t="s">
        <v>644</v>
      </c>
      <c r="B99" s="604"/>
      <c r="C99" s="605" t="s">
        <v>645</v>
      </c>
      <c r="D99" s="603" t="s">
        <v>563</v>
      </c>
      <c r="E99" s="603">
        <v>4</v>
      </c>
    </row>
    <row r="100" spans="1:5" x14ac:dyDescent="0.2">
      <c r="A100" s="604" t="s">
        <v>646</v>
      </c>
      <c r="B100" s="604" t="s">
        <v>647</v>
      </c>
      <c r="C100" s="604">
        <v>206133</v>
      </c>
      <c r="D100" s="603" t="s">
        <v>579</v>
      </c>
      <c r="E100" s="603">
        <v>3</v>
      </c>
    </row>
    <row r="101" spans="1:5" x14ac:dyDescent="0.2">
      <c r="A101" s="604" t="s">
        <v>648</v>
      </c>
      <c r="B101" s="604" t="s">
        <v>649</v>
      </c>
      <c r="C101" s="604" t="s">
        <v>650</v>
      </c>
      <c r="D101" s="603" t="s">
        <v>563</v>
      </c>
      <c r="E101" s="603">
        <v>4</v>
      </c>
    </row>
    <row r="102" spans="1:5" x14ac:dyDescent="0.2">
      <c r="A102" s="604" t="s">
        <v>651</v>
      </c>
      <c r="B102" s="604" t="s">
        <v>652</v>
      </c>
      <c r="C102" s="604">
        <v>206134</v>
      </c>
      <c r="D102" s="603" t="s">
        <v>579</v>
      </c>
      <c r="E102" s="603">
        <v>3</v>
      </c>
    </row>
    <row r="103" spans="1:5" x14ac:dyDescent="0.2">
      <c r="A103" s="604" t="s">
        <v>655</v>
      </c>
      <c r="B103" s="604"/>
      <c r="C103" s="604" t="s">
        <v>656</v>
      </c>
      <c r="D103" s="603" t="s">
        <v>563</v>
      </c>
      <c r="E103" s="603">
        <v>4</v>
      </c>
    </row>
    <row r="104" spans="1:5" x14ac:dyDescent="0.2">
      <c r="A104" s="528" t="s">
        <v>653</v>
      </c>
      <c r="B104" s="529"/>
      <c r="C104" s="529" t="s">
        <v>654</v>
      </c>
      <c r="D104" s="603" t="s">
        <v>563</v>
      </c>
      <c r="E104" s="603">
        <v>4</v>
      </c>
    </row>
    <row r="105" spans="1:5" x14ac:dyDescent="0.2">
      <c r="A105" s="604" t="s">
        <v>657</v>
      </c>
      <c r="B105" s="604"/>
      <c r="C105" s="604" t="s">
        <v>658</v>
      </c>
      <c r="D105" s="603" t="s">
        <v>563</v>
      </c>
      <c r="E105" s="603">
        <v>4</v>
      </c>
    </row>
    <row r="106" spans="1:5" x14ac:dyDescent="0.2">
      <c r="A106" s="604" t="s">
        <v>659</v>
      </c>
      <c r="B106" s="604" t="s">
        <v>660</v>
      </c>
      <c r="C106" s="604">
        <v>206109</v>
      </c>
      <c r="D106" s="603" t="s">
        <v>563</v>
      </c>
      <c r="E106" s="603">
        <v>4</v>
      </c>
    </row>
    <row r="107" spans="1:5" x14ac:dyDescent="0.2">
      <c r="A107" s="604" t="s">
        <v>76</v>
      </c>
      <c r="B107" s="604" t="s">
        <v>533</v>
      </c>
      <c r="C107" s="604">
        <v>2434</v>
      </c>
      <c r="D107" s="603" t="s">
        <v>507</v>
      </c>
      <c r="E107" s="603">
        <v>1</v>
      </c>
    </row>
    <row r="108" spans="1:5" x14ac:dyDescent="0.2">
      <c r="A108" s="583" t="s">
        <v>1033</v>
      </c>
      <c r="B108" s="198"/>
      <c r="C108" s="837">
        <v>4000</v>
      </c>
      <c r="D108" s="603"/>
      <c r="E108" s="603"/>
    </row>
    <row r="109" spans="1:5" x14ac:dyDescent="0.2">
      <c r="A109" s="18" t="s">
        <v>81</v>
      </c>
      <c r="B109" s="216"/>
      <c r="C109" s="646">
        <v>2009</v>
      </c>
    </row>
    <row r="110" spans="1:5" x14ac:dyDescent="0.2">
      <c r="A110" s="18" t="s">
        <v>77</v>
      </c>
      <c r="B110" s="216"/>
      <c r="C110" s="646">
        <v>2522</v>
      </c>
    </row>
    <row r="111" spans="1:5" x14ac:dyDescent="0.2">
      <c r="A111" s="604" t="s">
        <v>661</v>
      </c>
      <c r="B111" s="604" t="s">
        <v>662</v>
      </c>
      <c r="C111" s="604">
        <v>206110</v>
      </c>
      <c r="D111" s="603" t="s">
        <v>563</v>
      </c>
      <c r="E111" s="603">
        <v>4</v>
      </c>
    </row>
    <row r="112" spans="1:5" x14ac:dyDescent="0.2">
      <c r="A112" s="604" t="s">
        <v>663</v>
      </c>
      <c r="B112" s="604" t="s">
        <v>664</v>
      </c>
      <c r="C112" s="604">
        <v>206135</v>
      </c>
      <c r="D112" s="603" t="s">
        <v>579</v>
      </c>
      <c r="E112" s="603">
        <v>3</v>
      </c>
    </row>
    <row r="113" spans="1:11" x14ac:dyDescent="0.2">
      <c r="A113" s="18" t="s">
        <v>118</v>
      </c>
      <c r="C113" s="646">
        <v>4181</v>
      </c>
      <c r="J113" s="583"/>
      <c r="K113" s="198"/>
    </row>
    <row r="114" spans="1:11" x14ac:dyDescent="0.2">
      <c r="A114" s="604" t="s">
        <v>665</v>
      </c>
      <c r="B114" s="604" t="s">
        <v>666</v>
      </c>
      <c r="C114" s="604">
        <v>509195</v>
      </c>
      <c r="D114" s="603" t="s">
        <v>563</v>
      </c>
      <c r="E114" s="603">
        <v>4</v>
      </c>
    </row>
    <row r="115" spans="1:11" x14ac:dyDescent="0.2">
      <c r="A115" s="617" t="s">
        <v>667</v>
      </c>
      <c r="B115" s="604"/>
      <c r="C115" s="618" t="s">
        <v>668</v>
      </c>
      <c r="D115" s="603" t="s">
        <v>563</v>
      </c>
      <c r="E115" s="603">
        <v>4</v>
      </c>
    </row>
    <row r="116" spans="1:11" x14ac:dyDescent="0.2">
      <c r="A116" s="804" t="s">
        <v>669</v>
      </c>
      <c r="B116" s="804"/>
      <c r="C116" s="805" t="s">
        <v>670</v>
      </c>
      <c r="D116" s="623" t="s">
        <v>563</v>
      </c>
      <c r="E116" s="603">
        <v>4</v>
      </c>
    </row>
    <row r="117" spans="1:11" x14ac:dyDescent="0.2">
      <c r="A117" s="604" t="s">
        <v>671</v>
      </c>
      <c r="B117" s="604" t="s">
        <v>672</v>
      </c>
      <c r="C117" s="604" t="s">
        <v>673</v>
      </c>
      <c r="D117" s="603" t="s">
        <v>579</v>
      </c>
      <c r="E117" s="603">
        <v>3</v>
      </c>
    </row>
    <row r="118" spans="1:11" x14ac:dyDescent="0.2">
      <c r="A118" s="604" t="s">
        <v>674</v>
      </c>
      <c r="B118" s="604" t="s">
        <v>675</v>
      </c>
      <c r="C118" s="604">
        <v>509199</v>
      </c>
      <c r="D118" s="603" t="s">
        <v>563</v>
      </c>
      <c r="E118" s="603">
        <v>4</v>
      </c>
    </row>
    <row r="119" spans="1:11" x14ac:dyDescent="0.2">
      <c r="A119" s="604" t="s">
        <v>676</v>
      </c>
      <c r="B119" s="604" t="s">
        <v>677</v>
      </c>
      <c r="C119" s="604">
        <v>509197</v>
      </c>
      <c r="D119" s="603" t="s">
        <v>563</v>
      </c>
      <c r="E119" s="603">
        <v>4</v>
      </c>
    </row>
    <row r="120" spans="1:11" x14ac:dyDescent="0.2">
      <c r="A120" s="499" t="s">
        <v>681</v>
      </c>
      <c r="B120" s="500"/>
      <c r="C120" s="500" t="s">
        <v>682</v>
      </c>
      <c r="D120" s="623" t="s">
        <v>579</v>
      </c>
      <c r="E120" s="586">
        <v>3</v>
      </c>
    </row>
    <row r="121" spans="1:11" x14ac:dyDescent="0.2">
      <c r="A121" s="18" t="s">
        <v>119</v>
      </c>
      <c r="C121" s="646">
        <v>4182</v>
      </c>
    </row>
    <row r="122" spans="1:11" x14ac:dyDescent="0.2">
      <c r="A122" s="604" t="s">
        <v>678</v>
      </c>
      <c r="B122" s="604" t="s">
        <v>679</v>
      </c>
      <c r="C122" s="604" t="s">
        <v>680</v>
      </c>
      <c r="D122" s="603" t="s">
        <v>579</v>
      </c>
      <c r="E122" s="603">
        <v>3</v>
      </c>
    </row>
    <row r="123" spans="1:11" x14ac:dyDescent="0.2">
      <c r="A123" s="604" t="s">
        <v>40</v>
      </c>
      <c r="B123" s="604" t="s">
        <v>534</v>
      </c>
      <c r="C123" s="604">
        <v>1005</v>
      </c>
      <c r="D123" s="603" t="s">
        <v>504</v>
      </c>
      <c r="E123" s="603">
        <v>2</v>
      </c>
      <c r="H123" s="528" t="s">
        <v>653</v>
      </c>
      <c r="I123" s="529"/>
      <c r="J123" s="529" t="s">
        <v>654</v>
      </c>
    </row>
    <row r="124" spans="1:11" x14ac:dyDescent="0.2">
      <c r="A124" s="18" t="s">
        <v>78</v>
      </c>
      <c r="B124" s="216"/>
      <c r="C124" s="646">
        <v>2436</v>
      </c>
    </row>
    <row r="125" spans="1:11" x14ac:dyDescent="0.2">
      <c r="A125" s="604" t="s">
        <v>683</v>
      </c>
      <c r="B125" s="604" t="s">
        <v>684</v>
      </c>
      <c r="C125" s="604">
        <v>206117</v>
      </c>
      <c r="D125" s="603" t="s">
        <v>563</v>
      </c>
      <c r="E125" s="603">
        <v>4</v>
      </c>
    </row>
    <row r="126" spans="1:11" x14ac:dyDescent="0.2">
      <c r="A126" s="604" t="s">
        <v>79</v>
      </c>
      <c r="B126" s="604" t="s">
        <v>535</v>
      </c>
      <c r="C126" s="604">
        <v>2452</v>
      </c>
      <c r="D126" s="603" t="s">
        <v>507</v>
      </c>
      <c r="E126" s="603">
        <v>1</v>
      </c>
    </row>
    <row r="127" spans="1:11" x14ac:dyDescent="0.2">
      <c r="A127" s="18" t="s">
        <v>120</v>
      </c>
      <c r="C127" s="646">
        <v>4001</v>
      </c>
    </row>
    <row r="128" spans="1:11" x14ac:dyDescent="0.2">
      <c r="A128" s="604" t="s">
        <v>685</v>
      </c>
      <c r="B128" s="604" t="s">
        <v>686</v>
      </c>
      <c r="C128" s="604">
        <v>206141</v>
      </c>
      <c r="D128" s="603" t="s">
        <v>579</v>
      </c>
      <c r="E128" s="603">
        <v>3</v>
      </c>
    </row>
    <row r="129" spans="1:5" x14ac:dyDescent="0.2">
      <c r="A129" s="18" t="s">
        <v>80</v>
      </c>
      <c r="B129" s="216"/>
      <c r="C129" s="646">
        <v>2627</v>
      </c>
    </row>
    <row r="130" spans="1:5" x14ac:dyDescent="0.2">
      <c r="A130" s="18" t="s">
        <v>173</v>
      </c>
      <c r="C130" s="646">
        <v>5406</v>
      </c>
    </row>
    <row r="131" spans="1:5" x14ac:dyDescent="0.2">
      <c r="A131" s="18" t="s">
        <v>174</v>
      </c>
      <c r="C131" s="646">
        <v>5407</v>
      </c>
    </row>
    <row r="132" spans="1:5" x14ac:dyDescent="0.2">
      <c r="A132" s="604" t="s">
        <v>687</v>
      </c>
      <c r="B132" s="604" t="s">
        <v>688</v>
      </c>
      <c r="C132" s="604" t="s">
        <v>689</v>
      </c>
      <c r="D132" s="603" t="s">
        <v>563</v>
      </c>
      <c r="E132" s="603">
        <v>4</v>
      </c>
    </row>
    <row r="133" spans="1:5" x14ac:dyDescent="0.2">
      <c r="A133" s="604" t="s">
        <v>690</v>
      </c>
      <c r="B133" s="604" t="s">
        <v>691</v>
      </c>
      <c r="C133" s="604">
        <v>258404</v>
      </c>
      <c r="D133" s="603" t="s">
        <v>563</v>
      </c>
      <c r="E133" s="603">
        <v>4</v>
      </c>
    </row>
    <row r="134" spans="1:5" x14ac:dyDescent="0.2">
      <c r="A134" s="18" t="s">
        <v>162</v>
      </c>
      <c r="B134" s="604" t="s">
        <v>537</v>
      </c>
      <c r="C134" s="604">
        <v>2473</v>
      </c>
      <c r="D134" s="603" t="s">
        <v>507</v>
      </c>
      <c r="E134" s="603">
        <v>1</v>
      </c>
    </row>
    <row r="135" spans="1:5" x14ac:dyDescent="0.2">
      <c r="A135" s="18" t="s">
        <v>84</v>
      </c>
      <c r="B135" s="216"/>
      <c r="C135" s="646">
        <v>2471</v>
      </c>
    </row>
    <row r="136" spans="1:5" x14ac:dyDescent="0.2">
      <c r="A136" s="604" t="s">
        <v>692</v>
      </c>
      <c r="B136" s="604" t="s">
        <v>693</v>
      </c>
      <c r="C136" s="604">
        <v>258405</v>
      </c>
      <c r="D136" s="603" t="s">
        <v>563</v>
      </c>
      <c r="E136" s="603">
        <v>4</v>
      </c>
    </row>
    <row r="137" spans="1:5" x14ac:dyDescent="0.2">
      <c r="A137" s="604" t="s">
        <v>694</v>
      </c>
      <c r="B137" s="604" t="s">
        <v>695</v>
      </c>
      <c r="C137" s="604">
        <v>258406</v>
      </c>
      <c r="D137" s="603" t="s">
        <v>563</v>
      </c>
      <c r="E137" s="603">
        <v>4</v>
      </c>
    </row>
    <row r="138" spans="1:5" x14ac:dyDescent="0.2">
      <c r="A138" s="604" t="s">
        <v>82</v>
      </c>
      <c r="B138" s="604" t="s">
        <v>536</v>
      </c>
      <c r="C138" s="604">
        <v>2420</v>
      </c>
      <c r="D138" s="603" t="s">
        <v>507</v>
      </c>
      <c r="E138" s="603">
        <v>1</v>
      </c>
    </row>
    <row r="139" spans="1:5" x14ac:dyDescent="0.2">
      <c r="A139" s="604" t="s">
        <v>696</v>
      </c>
      <c r="B139" s="604" t="s">
        <v>697</v>
      </c>
      <c r="C139" s="604">
        <v>206160</v>
      </c>
      <c r="D139" s="603" t="s">
        <v>579</v>
      </c>
      <c r="E139" s="603">
        <v>3</v>
      </c>
    </row>
    <row r="140" spans="1:5" x14ac:dyDescent="0.2">
      <c r="A140" s="604" t="s">
        <v>85</v>
      </c>
      <c r="B140" s="604" t="s">
        <v>538</v>
      </c>
      <c r="C140" s="604">
        <v>2003</v>
      </c>
      <c r="D140" s="603" t="s">
        <v>507</v>
      </c>
      <c r="E140" s="603">
        <v>1</v>
      </c>
    </row>
    <row r="141" spans="1:5" x14ac:dyDescent="0.2">
      <c r="A141" s="18" t="s">
        <v>86</v>
      </c>
      <c r="B141" s="216"/>
      <c r="C141" s="646">
        <v>2423</v>
      </c>
    </row>
    <row r="142" spans="1:5" x14ac:dyDescent="0.2">
      <c r="A142" s="18" t="s">
        <v>87</v>
      </c>
      <c r="B142" s="216"/>
      <c r="C142" s="646">
        <v>2424</v>
      </c>
    </row>
    <row r="143" spans="1:5" x14ac:dyDescent="0.2">
      <c r="A143" s="604" t="s">
        <v>698</v>
      </c>
      <c r="B143" s="604" t="s">
        <v>699</v>
      </c>
      <c r="C143" s="604" t="s">
        <v>700</v>
      </c>
      <c r="D143" s="603" t="s">
        <v>563</v>
      </c>
      <c r="E143" s="603">
        <v>4</v>
      </c>
    </row>
    <row r="144" spans="1:5" x14ac:dyDescent="0.2">
      <c r="A144" s="605" t="s">
        <v>701</v>
      </c>
      <c r="B144" s="604"/>
      <c r="C144" s="605" t="s">
        <v>702</v>
      </c>
      <c r="D144" s="603" t="s">
        <v>563</v>
      </c>
      <c r="E144" s="603">
        <v>4</v>
      </c>
    </row>
    <row r="145" spans="1:5" x14ac:dyDescent="0.2">
      <c r="A145" s="604" t="s">
        <v>703</v>
      </c>
      <c r="B145" s="604" t="s">
        <v>704</v>
      </c>
      <c r="C145" s="604" t="s">
        <v>705</v>
      </c>
      <c r="D145" s="603" t="s">
        <v>563</v>
      </c>
      <c r="E145" s="603">
        <v>4</v>
      </c>
    </row>
    <row r="146" spans="1:5" x14ac:dyDescent="0.2">
      <c r="A146" s="604" t="s">
        <v>706</v>
      </c>
      <c r="B146" s="604" t="s">
        <v>707</v>
      </c>
      <c r="C146" s="604">
        <v>206146</v>
      </c>
      <c r="D146" s="603" t="s">
        <v>579</v>
      </c>
      <c r="E146" s="603">
        <v>3</v>
      </c>
    </row>
    <row r="147" spans="1:5" x14ac:dyDescent="0.2">
      <c r="A147" s="18" t="s">
        <v>88</v>
      </c>
      <c r="B147" s="216"/>
      <c r="C147" s="646">
        <v>2439</v>
      </c>
    </row>
    <row r="148" spans="1:5" x14ac:dyDescent="0.2">
      <c r="A148" s="18" t="s">
        <v>89</v>
      </c>
      <c r="B148" s="216"/>
      <c r="C148" s="646">
        <v>2440</v>
      </c>
    </row>
    <row r="149" spans="1:5" x14ac:dyDescent="0.2">
      <c r="A149" s="605" t="s">
        <v>708</v>
      </c>
      <c r="B149" s="604"/>
      <c r="C149" s="605" t="s">
        <v>709</v>
      </c>
      <c r="D149" s="603" t="s">
        <v>563</v>
      </c>
      <c r="E149" s="603">
        <v>4</v>
      </c>
    </row>
    <row r="150" spans="1:5" x14ac:dyDescent="0.2">
      <c r="A150" s="604" t="s">
        <v>715</v>
      </c>
      <c r="B150" s="604" t="s">
        <v>711</v>
      </c>
      <c r="C150" s="604" t="s">
        <v>716</v>
      </c>
      <c r="D150" s="603" t="s">
        <v>563</v>
      </c>
      <c r="E150" s="603">
        <v>4</v>
      </c>
    </row>
    <row r="151" spans="1:5" x14ac:dyDescent="0.2">
      <c r="A151" s="18" t="s">
        <v>163</v>
      </c>
      <c r="B151" s="604" t="s">
        <v>539</v>
      </c>
      <c r="C151" s="604">
        <v>2462</v>
      </c>
      <c r="D151" s="603" t="s">
        <v>507</v>
      </c>
      <c r="E151" s="603">
        <v>1</v>
      </c>
    </row>
    <row r="152" spans="1:5" x14ac:dyDescent="0.2">
      <c r="A152" s="18" t="s">
        <v>91</v>
      </c>
      <c r="B152" s="216"/>
      <c r="C152" s="646">
        <v>2463</v>
      </c>
    </row>
    <row r="153" spans="1:5" x14ac:dyDescent="0.2">
      <c r="A153" s="604" t="s">
        <v>92</v>
      </c>
      <c r="B153" s="604" t="s">
        <v>540</v>
      </c>
      <c r="C153" s="604">
        <v>2505</v>
      </c>
      <c r="D153" s="603" t="s">
        <v>507</v>
      </c>
      <c r="E153" s="603">
        <v>1</v>
      </c>
    </row>
    <row r="154" spans="1:5" x14ac:dyDescent="0.2">
      <c r="A154" s="604" t="s">
        <v>93</v>
      </c>
      <c r="B154" s="604" t="s">
        <v>541</v>
      </c>
      <c r="C154" s="604">
        <v>2000</v>
      </c>
      <c r="D154" s="603" t="s">
        <v>507</v>
      </c>
      <c r="E154" s="603">
        <v>1</v>
      </c>
    </row>
    <row r="155" spans="1:5" x14ac:dyDescent="0.2">
      <c r="A155" s="18" t="s">
        <v>94</v>
      </c>
      <c r="B155" s="216"/>
      <c r="C155" s="646">
        <v>2458</v>
      </c>
    </row>
    <row r="156" spans="1:5" x14ac:dyDescent="0.2">
      <c r="A156" s="604" t="s">
        <v>717</v>
      </c>
      <c r="B156" s="604" t="s">
        <v>718</v>
      </c>
      <c r="C156" s="604" t="s">
        <v>719</v>
      </c>
      <c r="D156" s="603" t="s">
        <v>563</v>
      </c>
      <c r="E156" s="603">
        <v>4</v>
      </c>
    </row>
    <row r="157" spans="1:5" x14ac:dyDescent="0.2">
      <c r="A157" s="604" t="s">
        <v>95</v>
      </c>
      <c r="B157" s="604" t="s">
        <v>542</v>
      </c>
      <c r="C157" s="604">
        <v>2001</v>
      </c>
      <c r="D157" s="603" t="s">
        <v>507</v>
      </c>
      <c r="E157" s="603">
        <v>1</v>
      </c>
    </row>
    <row r="158" spans="1:5" x14ac:dyDescent="0.2">
      <c r="A158" s="605" t="s">
        <v>720</v>
      </c>
      <c r="B158" s="604"/>
      <c r="C158" s="605" t="s">
        <v>721</v>
      </c>
      <c r="D158" s="603" t="s">
        <v>563</v>
      </c>
      <c r="E158" s="603">
        <v>4</v>
      </c>
    </row>
    <row r="159" spans="1:5" x14ac:dyDescent="0.2">
      <c r="A159" s="604" t="s">
        <v>96</v>
      </c>
      <c r="B159" s="604" t="s">
        <v>543</v>
      </c>
      <c r="C159" s="604">
        <v>2429</v>
      </c>
      <c r="D159" s="603" t="s">
        <v>507</v>
      </c>
      <c r="E159" s="603">
        <v>1</v>
      </c>
    </row>
    <row r="160" spans="1:5" x14ac:dyDescent="0.2">
      <c r="A160" s="604" t="s">
        <v>722</v>
      </c>
      <c r="B160" s="604" t="s">
        <v>723</v>
      </c>
      <c r="C160" s="604">
        <v>113044</v>
      </c>
      <c r="D160" s="603" t="s">
        <v>579</v>
      </c>
      <c r="E160" s="603">
        <v>3</v>
      </c>
    </row>
    <row r="161" spans="1:5" x14ac:dyDescent="0.2">
      <c r="A161" s="604" t="s">
        <v>724</v>
      </c>
      <c r="B161" s="604" t="s">
        <v>725</v>
      </c>
      <c r="C161" s="604" t="s">
        <v>726</v>
      </c>
      <c r="D161" s="603" t="s">
        <v>563</v>
      </c>
      <c r="E161" s="603">
        <v>4</v>
      </c>
    </row>
    <row r="162" spans="1:5" x14ac:dyDescent="0.2">
      <c r="A162" s="18" t="s">
        <v>123</v>
      </c>
      <c r="C162" s="646">
        <v>4607</v>
      </c>
    </row>
    <row r="163" spans="1:5" x14ac:dyDescent="0.2">
      <c r="A163" s="604" t="s">
        <v>97</v>
      </c>
      <c r="B163" s="604" t="s">
        <v>544</v>
      </c>
      <c r="C163" s="604">
        <v>2444</v>
      </c>
      <c r="D163" s="603" t="s">
        <v>507</v>
      </c>
      <c r="E163" s="603">
        <v>1</v>
      </c>
    </row>
    <row r="164" spans="1:5" x14ac:dyDescent="0.2">
      <c r="A164" s="18" t="s">
        <v>98</v>
      </c>
      <c r="B164" s="216"/>
      <c r="C164" s="646">
        <v>5209</v>
      </c>
    </row>
    <row r="165" spans="1:5" x14ac:dyDescent="0.2">
      <c r="A165" s="604" t="s">
        <v>727</v>
      </c>
      <c r="B165" s="604" t="s">
        <v>728</v>
      </c>
      <c r="C165" s="604" t="s">
        <v>729</v>
      </c>
      <c r="D165" s="606" t="s">
        <v>579</v>
      </c>
      <c r="E165" s="603">
        <v>3</v>
      </c>
    </row>
    <row r="166" spans="1:5" x14ac:dyDescent="0.2">
      <c r="A166" s="604" t="s">
        <v>730</v>
      </c>
      <c r="B166" s="604" t="s">
        <v>731</v>
      </c>
      <c r="C166" s="604" t="s">
        <v>732</v>
      </c>
      <c r="D166" s="606" t="s">
        <v>563</v>
      </c>
      <c r="E166" s="603">
        <v>4</v>
      </c>
    </row>
    <row r="167" spans="1:5" x14ac:dyDescent="0.2">
      <c r="A167" s="18" t="s">
        <v>99</v>
      </c>
      <c r="B167" s="216"/>
      <c r="C167" s="646">
        <v>2469</v>
      </c>
    </row>
    <row r="168" spans="1:5" x14ac:dyDescent="0.2">
      <c r="A168" s="604" t="s">
        <v>733</v>
      </c>
      <c r="B168" s="604" t="s">
        <v>734</v>
      </c>
      <c r="C168" s="604" t="s">
        <v>735</v>
      </c>
      <c r="D168" s="606" t="s">
        <v>563</v>
      </c>
      <c r="E168" s="603">
        <v>4</v>
      </c>
    </row>
    <row r="169" spans="1:5" x14ac:dyDescent="0.2">
      <c r="A169" s="619" t="s">
        <v>736</v>
      </c>
      <c r="B169" s="620"/>
      <c r="C169" s="651" t="s">
        <v>737</v>
      </c>
      <c r="D169" s="606" t="s">
        <v>563</v>
      </c>
      <c r="E169" s="603">
        <v>4</v>
      </c>
    </row>
    <row r="170" spans="1:5" x14ac:dyDescent="0.2">
      <c r="A170" s="18" t="s">
        <v>101</v>
      </c>
      <c r="B170" s="216"/>
      <c r="C170" s="646">
        <v>2466</v>
      </c>
    </row>
    <row r="171" spans="1:5" x14ac:dyDescent="0.2">
      <c r="A171" s="604" t="s">
        <v>102</v>
      </c>
      <c r="B171" s="604" t="s">
        <v>546</v>
      </c>
      <c r="C171" s="604">
        <v>3543</v>
      </c>
      <c r="D171" s="606" t="s">
        <v>507</v>
      </c>
      <c r="E171" s="603">
        <v>1</v>
      </c>
    </row>
    <row r="172" spans="1:5" x14ac:dyDescent="0.2">
      <c r="A172" s="604" t="s">
        <v>738</v>
      </c>
      <c r="B172" s="604" t="s">
        <v>739</v>
      </c>
      <c r="C172" s="604">
        <v>206152</v>
      </c>
      <c r="D172" s="603" t="s">
        <v>579</v>
      </c>
      <c r="E172" s="603">
        <v>3</v>
      </c>
    </row>
    <row r="173" spans="1:5" x14ac:dyDescent="0.2">
      <c r="A173" s="604" t="s">
        <v>740</v>
      </c>
      <c r="B173" s="604" t="s">
        <v>741</v>
      </c>
      <c r="C173" s="604">
        <v>206153</v>
      </c>
      <c r="D173" s="603" t="s">
        <v>579</v>
      </c>
      <c r="E173" s="603">
        <v>3</v>
      </c>
    </row>
    <row r="174" spans="1:5" x14ac:dyDescent="0.2">
      <c r="A174" s="18" t="s">
        <v>104</v>
      </c>
      <c r="B174" s="216"/>
      <c r="C174" s="646">
        <v>3531</v>
      </c>
    </row>
    <row r="175" spans="1:5" x14ac:dyDescent="0.2">
      <c r="A175" s="604" t="s">
        <v>105</v>
      </c>
      <c r="B175" s="604" t="s">
        <v>548</v>
      </c>
      <c r="C175" s="604">
        <v>3526</v>
      </c>
      <c r="D175" s="603" t="s">
        <v>507</v>
      </c>
      <c r="E175" s="603">
        <v>1</v>
      </c>
    </row>
    <row r="176" spans="1:5" x14ac:dyDescent="0.2">
      <c r="A176" s="18" t="s">
        <v>165</v>
      </c>
      <c r="B176" s="216"/>
      <c r="C176" s="646">
        <v>3535</v>
      </c>
    </row>
    <row r="177" spans="1:16" x14ac:dyDescent="0.2">
      <c r="A177" s="21" t="s">
        <v>107</v>
      </c>
      <c r="B177" s="216"/>
      <c r="C177" s="646">
        <v>2008</v>
      </c>
    </row>
    <row r="178" spans="1:16" x14ac:dyDescent="0.2">
      <c r="A178" s="18" t="s">
        <v>166</v>
      </c>
      <c r="B178" s="216"/>
      <c r="C178" s="646">
        <v>3542</v>
      </c>
    </row>
    <row r="179" spans="1:16" x14ac:dyDescent="0.2">
      <c r="A179" s="621" t="s">
        <v>742</v>
      </c>
      <c r="B179" s="604" t="s">
        <v>743</v>
      </c>
      <c r="C179" s="604">
        <v>206154</v>
      </c>
      <c r="D179" s="603" t="s">
        <v>579</v>
      </c>
      <c r="E179" s="603">
        <v>3</v>
      </c>
    </row>
    <row r="180" spans="1:16" x14ac:dyDescent="0.2">
      <c r="A180" s="18" t="s">
        <v>167</v>
      </c>
      <c r="B180" s="604" t="s">
        <v>549</v>
      </c>
      <c r="C180" s="604">
        <v>3528</v>
      </c>
      <c r="D180" s="603" t="s">
        <v>507</v>
      </c>
      <c r="E180" s="603">
        <v>1</v>
      </c>
    </row>
    <row r="181" spans="1:16" x14ac:dyDescent="0.2">
      <c r="A181" s="605" t="s">
        <v>744</v>
      </c>
      <c r="B181" s="604"/>
      <c r="C181" s="605" t="s">
        <v>745</v>
      </c>
      <c r="D181" s="603" t="s">
        <v>579</v>
      </c>
      <c r="E181" s="603">
        <v>3</v>
      </c>
    </row>
    <row r="182" spans="1:16" x14ac:dyDescent="0.2">
      <c r="A182" s="18" t="s">
        <v>168</v>
      </c>
      <c r="B182" s="216"/>
      <c r="C182" s="646">
        <v>3534</v>
      </c>
    </row>
    <row r="183" spans="1:16" x14ac:dyDescent="0.2">
      <c r="A183" s="18" t="s">
        <v>169</v>
      </c>
      <c r="B183" s="815"/>
      <c r="C183" s="819">
        <v>3532</v>
      </c>
      <c r="L183" s="595"/>
      <c r="M183" s="595"/>
      <c r="N183" s="595"/>
      <c r="O183" s="595"/>
      <c r="P183" s="595"/>
    </row>
    <row r="184" spans="1:16" x14ac:dyDescent="0.2">
      <c r="A184" s="766" t="s">
        <v>41</v>
      </c>
      <c r="B184" s="604" t="s">
        <v>550</v>
      </c>
      <c r="C184" s="604">
        <v>1010</v>
      </c>
      <c r="D184" s="603" t="s">
        <v>504</v>
      </c>
      <c r="E184" s="603">
        <v>2</v>
      </c>
      <c r="L184" s="491"/>
      <c r="M184" s="654"/>
      <c r="N184" s="654"/>
      <c r="O184" s="793"/>
      <c r="P184" s="806"/>
    </row>
    <row r="185" spans="1:16" x14ac:dyDescent="0.2">
      <c r="A185" s="766" t="s">
        <v>746</v>
      </c>
      <c r="B185" s="604" t="s">
        <v>747</v>
      </c>
      <c r="C185" s="604" t="s">
        <v>748</v>
      </c>
      <c r="D185" s="603" t="s">
        <v>563</v>
      </c>
      <c r="E185" s="603">
        <v>4</v>
      </c>
      <c r="L185" s="665"/>
      <c r="M185" s="198"/>
      <c r="N185" s="662"/>
      <c r="O185" s="793"/>
      <c r="P185" s="806"/>
    </row>
    <row r="186" spans="1:16" ht="15" x14ac:dyDescent="0.25">
      <c r="A186" s="18" t="s">
        <v>175</v>
      </c>
      <c r="C186" s="646">
        <v>4177</v>
      </c>
      <c r="D186" s="623" t="s">
        <v>507</v>
      </c>
      <c r="E186" s="586">
        <v>1</v>
      </c>
      <c r="L186" s="665"/>
      <c r="M186" s="198"/>
      <c r="N186" s="661"/>
      <c r="O186" s="793"/>
      <c r="P186" s="806"/>
    </row>
    <row r="187" spans="1:16" x14ac:dyDescent="0.2">
      <c r="A187" s="604" t="s">
        <v>749</v>
      </c>
      <c r="B187" s="604" t="s">
        <v>750</v>
      </c>
      <c r="C187" s="604" t="s">
        <v>751</v>
      </c>
      <c r="D187" s="603" t="s">
        <v>563</v>
      </c>
      <c r="E187" s="603">
        <v>4</v>
      </c>
      <c r="L187" s="659"/>
      <c r="M187" s="657"/>
      <c r="N187" s="657"/>
      <c r="O187" s="793"/>
      <c r="P187" s="595"/>
    </row>
    <row r="188" spans="1:16" x14ac:dyDescent="0.2">
      <c r="A188" s="604" t="s">
        <v>752</v>
      </c>
      <c r="B188" s="604" t="s">
        <v>750</v>
      </c>
      <c r="C188" s="604">
        <v>206103</v>
      </c>
      <c r="D188" s="603" t="s">
        <v>563</v>
      </c>
      <c r="E188" s="603">
        <v>4</v>
      </c>
      <c r="L188" s="659"/>
      <c r="M188" s="657"/>
      <c r="N188" s="657"/>
      <c r="O188" s="793"/>
      <c r="P188" s="806"/>
    </row>
    <row r="189" spans="1:16" x14ac:dyDescent="0.2">
      <c r="A189" s="604" t="s">
        <v>753</v>
      </c>
      <c r="B189" s="604" t="s">
        <v>754</v>
      </c>
      <c r="C189" s="604" t="s">
        <v>755</v>
      </c>
      <c r="D189" s="603" t="s">
        <v>563</v>
      </c>
      <c r="E189" s="603">
        <v>4</v>
      </c>
      <c r="L189" s="331"/>
      <c r="M189" s="331"/>
      <c r="N189" s="331"/>
      <c r="O189" s="793"/>
      <c r="P189" s="595"/>
    </row>
    <row r="190" spans="1:16" x14ac:dyDescent="0.2">
      <c r="A190" s="604" t="s">
        <v>756</v>
      </c>
      <c r="B190" s="604" t="s">
        <v>757</v>
      </c>
      <c r="C190" s="604" t="s">
        <v>758</v>
      </c>
      <c r="D190" s="603" t="s">
        <v>563</v>
      </c>
      <c r="E190" s="603">
        <v>4</v>
      </c>
      <c r="L190" s="331"/>
      <c r="M190" s="331"/>
      <c r="N190" s="331"/>
      <c r="O190" s="793"/>
      <c r="P190" s="595"/>
    </row>
    <row r="191" spans="1:16" x14ac:dyDescent="0.2">
      <c r="A191" s="604" t="s">
        <v>759</v>
      </c>
      <c r="B191" s="604" t="s">
        <v>760</v>
      </c>
      <c r="C191" s="604">
        <v>258420</v>
      </c>
      <c r="D191" s="603" t="s">
        <v>563</v>
      </c>
      <c r="E191" s="603">
        <v>4</v>
      </c>
      <c r="L191" s="331"/>
      <c r="M191" s="331"/>
      <c r="N191" s="331"/>
      <c r="O191" s="793"/>
      <c r="P191" s="595"/>
    </row>
    <row r="192" spans="1:16" x14ac:dyDescent="0.2">
      <c r="A192" s="604" t="s">
        <v>761</v>
      </c>
      <c r="B192" s="604" t="s">
        <v>762</v>
      </c>
      <c r="C192" s="604">
        <v>258424</v>
      </c>
      <c r="D192" s="603" t="s">
        <v>563</v>
      </c>
      <c r="E192" s="603">
        <v>4</v>
      </c>
      <c r="L192" s="331"/>
      <c r="M192" s="331"/>
      <c r="N192" s="331"/>
      <c r="O192" s="793"/>
      <c r="P192" s="595"/>
    </row>
    <row r="193" spans="1:16" x14ac:dyDescent="0.2">
      <c r="A193" s="604" t="s">
        <v>763</v>
      </c>
      <c r="B193" s="604"/>
      <c r="C193" s="604" t="s">
        <v>764</v>
      </c>
      <c r="D193" s="603" t="s">
        <v>579</v>
      </c>
      <c r="E193" s="603">
        <v>3</v>
      </c>
      <c r="L193" s="331"/>
      <c r="M193" s="331"/>
      <c r="N193" s="331"/>
      <c r="O193" s="793"/>
      <c r="P193" s="595"/>
    </row>
    <row r="194" spans="1:16" x14ac:dyDescent="0.2">
      <c r="A194" s="813" t="s">
        <v>112</v>
      </c>
      <c r="B194" s="604" t="s">
        <v>551</v>
      </c>
      <c r="C194" s="604">
        <v>3546</v>
      </c>
      <c r="D194" s="603" t="s">
        <v>507</v>
      </c>
      <c r="E194" s="603">
        <v>1</v>
      </c>
      <c r="L194" s="331"/>
      <c r="M194" s="331"/>
      <c r="N194" s="331"/>
      <c r="O194" s="793"/>
      <c r="P194" s="595"/>
    </row>
    <row r="195" spans="1:16" x14ac:dyDescent="0.2">
      <c r="A195" s="811" t="s">
        <v>42</v>
      </c>
      <c r="B195" s="811" t="s">
        <v>552</v>
      </c>
      <c r="C195" s="604">
        <v>1009</v>
      </c>
      <c r="D195" s="603" t="s">
        <v>504</v>
      </c>
      <c r="E195" s="603">
        <v>2</v>
      </c>
      <c r="L195" s="612"/>
      <c r="M195" s="658"/>
      <c r="N195" s="658"/>
      <c r="O195" s="793"/>
      <c r="P195" s="595"/>
    </row>
    <row r="196" spans="1:16" x14ac:dyDescent="0.2">
      <c r="A196" s="813" t="s">
        <v>113</v>
      </c>
      <c r="B196" s="604" t="s">
        <v>553</v>
      </c>
      <c r="C196" s="604">
        <v>3530</v>
      </c>
      <c r="D196" s="603" t="s">
        <v>507</v>
      </c>
      <c r="E196" s="603">
        <v>1</v>
      </c>
      <c r="L196" s="664"/>
      <c r="M196" s="608"/>
      <c r="N196" s="662"/>
      <c r="O196" s="793"/>
      <c r="P196" s="595"/>
    </row>
    <row r="197" spans="1:16" x14ac:dyDescent="0.2">
      <c r="A197" s="18" t="s">
        <v>126</v>
      </c>
      <c r="B197" s="817"/>
      <c r="C197" s="646">
        <v>5412</v>
      </c>
      <c r="L197" s="607"/>
      <c r="M197" s="807"/>
      <c r="N197" s="807"/>
      <c r="O197" s="793"/>
      <c r="P197" s="595"/>
    </row>
    <row r="198" spans="1:16" ht="15" x14ac:dyDescent="0.2">
      <c r="A198" s="814" t="s">
        <v>770</v>
      </c>
      <c r="B198" s="818" t="s">
        <v>771</v>
      </c>
      <c r="C198" s="822" t="s">
        <v>771</v>
      </c>
      <c r="D198" s="603" t="s">
        <v>563</v>
      </c>
      <c r="E198" s="603">
        <v>4</v>
      </c>
      <c r="L198" s="808"/>
      <c r="M198" s="608"/>
      <c r="N198" s="662"/>
      <c r="O198" s="793"/>
      <c r="P198" s="595"/>
    </row>
    <row r="199" spans="1:16" x14ac:dyDescent="0.2">
      <c r="A199" s="811" t="s">
        <v>765</v>
      </c>
      <c r="B199" s="811" t="s">
        <v>766</v>
      </c>
      <c r="C199" s="820" t="s">
        <v>767</v>
      </c>
      <c r="D199" s="603" t="s">
        <v>579</v>
      </c>
      <c r="E199" s="603">
        <v>3</v>
      </c>
      <c r="L199" s="612"/>
      <c r="M199" s="608"/>
      <c r="N199" s="608"/>
      <c r="O199" s="793"/>
      <c r="P199" s="595"/>
    </row>
    <row r="200" spans="1:16" x14ac:dyDescent="0.2">
      <c r="A200" s="604" t="s">
        <v>43</v>
      </c>
      <c r="B200" s="811" t="s">
        <v>554</v>
      </c>
      <c r="C200" s="811">
        <v>1015</v>
      </c>
      <c r="D200" s="603" t="s">
        <v>504</v>
      </c>
      <c r="E200" s="603">
        <v>2</v>
      </c>
      <c r="L200" s="607"/>
      <c r="M200" s="608"/>
      <c r="N200" s="608"/>
      <c r="O200" s="793"/>
      <c r="P200" s="595"/>
    </row>
    <row r="201" spans="1:16" x14ac:dyDescent="0.2">
      <c r="A201" s="812" t="s">
        <v>768</v>
      </c>
      <c r="B201" s="811"/>
      <c r="C201" s="821" t="s">
        <v>769</v>
      </c>
      <c r="D201" s="603" t="s">
        <v>563</v>
      </c>
      <c r="E201" s="603">
        <v>4</v>
      </c>
      <c r="L201" s="808"/>
      <c r="M201" s="608"/>
      <c r="N201" s="802"/>
      <c r="O201" s="793"/>
      <c r="P201" s="595"/>
    </row>
    <row r="202" spans="1:16" x14ac:dyDescent="0.2">
      <c r="A202" s="813" t="s">
        <v>772</v>
      </c>
      <c r="B202" s="604" t="s">
        <v>773</v>
      </c>
      <c r="C202" s="604">
        <v>509204</v>
      </c>
      <c r="D202" s="603" t="s">
        <v>563</v>
      </c>
      <c r="E202" s="603">
        <v>4</v>
      </c>
      <c r="L202" s="612"/>
      <c r="M202" s="608"/>
      <c r="N202" s="608"/>
      <c r="O202" s="793"/>
      <c r="P202" s="595"/>
    </row>
    <row r="203" spans="1:16" x14ac:dyDescent="0.2">
      <c r="A203" s="810" t="s">
        <v>114</v>
      </c>
      <c r="B203" s="816"/>
      <c r="C203" s="819">
        <v>2459</v>
      </c>
      <c r="L203" s="611"/>
      <c r="M203" s="809"/>
      <c r="N203" s="809"/>
      <c r="O203" s="793"/>
      <c r="P203" s="595"/>
    </row>
    <row r="204" spans="1:16" x14ac:dyDescent="0.2">
      <c r="A204" s="604" t="s">
        <v>157</v>
      </c>
      <c r="B204" s="604"/>
      <c r="C204" s="604">
        <v>2007</v>
      </c>
      <c r="D204" s="603" t="s">
        <v>507</v>
      </c>
      <c r="E204" s="603">
        <v>1</v>
      </c>
      <c r="L204" s="804"/>
      <c r="M204" s="804"/>
      <c r="N204" s="722"/>
      <c r="O204" s="793"/>
      <c r="P204" s="806"/>
    </row>
    <row r="205" spans="1:16" x14ac:dyDescent="0.2">
      <c r="L205" s="659"/>
      <c r="M205" s="657"/>
      <c r="N205" s="657"/>
      <c r="O205" s="793"/>
      <c r="P205" s="595"/>
    </row>
  </sheetData>
  <sheetProtection password="EF5C" sheet="1" objects="1" scenarios="1" selectLockedCells="1" selectUnlockedCells="1"/>
  <sortState ref="A2:E203">
    <sortCondition ref="A2:A203"/>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zoomScale="80" zoomScaleNormal="80" workbookViewId="0">
      <selection sqref="A1:XFD1048576"/>
    </sheetView>
  </sheetViews>
  <sheetFormatPr defaultRowHeight="12.75" x14ac:dyDescent="0.2"/>
  <cols>
    <col min="1" max="1" width="52.42578125" style="223" bestFit="1" customWidth="1"/>
    <col min="2" max="2" width="17.140625" style="223" bestFit="1" customWidth="1"/>
    <col min="3" max="16384" width="9.140625" style="223"/>
  </cols>
  <sheetData>
    <row r="1" spans="1:3" x14ac:dyDescent="0.2">
      <c r="A1" s="9" t="s">
        <v>137</v>
      </c>
      <c r="B1" s="10"/>
      <c r="C1" s="13"/>
    </row>
    <row r="2" spans="1:3" x14ac:dyDescent="0.2">
      <c r="A2" s="9" t="s">
        <v>138</v>
      </c>
      <c r="B2" s="10"/>
      <c r="C2" s="13"/>
    </row>
    <row r="3" spans="1:3" x14ac:dyDescent="0.2">
      <c r="A3" s="9" t="s">
        <v>139</v>
      </c>
      <c r="B3" s="10"/>
      <c r="C3" s="13"/>
    </row>
    <row r="4" spans="1:3" x14ac:dyDescent="0.2">
      <c r="A4" s="9" t="s">
        <v>140</v>
      </c>
      <c r="B4" s="10"/>
      <c r="C4" s="13"/>
    </row>
    <row r="5" spans="1:3" x14ac:dyDescent="0.2">
      <c r="A5" s="9" t="s">
        <v>141</v>
      </c>
      <c r="B5" s="10"/>
      <c r="C5" s="13"/>
    </row>
    <row r="6" spans="1:3" ht="25.5" x14ac:dyDescent="0.2">
      <c r="A6" s="25" t="s">
        <v>180</v>
      </c>
      <c r="B6" s="15" t="s">
        <v>142</v>
      </c>
      <c r="C6" s="245" t="s">
        <v>208</v>
      </c>
    </row>
    <row r="7" spans="1:3" x14ac:dyDescent="0.2">
      <c r="A7" s="18" t="s">
        <v>44</v>
      </c>
      <c r="B7" s="19">
        <v>2400</v>
      </c>
      <c r="C7" s="211">
        <v>0</v>
      </c>
    </row>
    <row r="8" spans="1:3" x14ac:dyDescent="0.2">
      <c r="A8" s="18" t="s">
        <v>45</v>
      </c>
      <c r="B8" s="19">
        <v>2443</v>
      </c>
      <c r="C8" s="211">
        <v>0</v>
      </c>
    </row>
    <row r="9" spans="1:3" x14ac:dyDescent="0.2">
      <c r="A9" s="18" t="s">
        <v>155</v>
      </c>
      <c r="B9" s="19">
        <v>2442</v>
      </c>
      <c r="C9" s="211">
        <v>0</v>
      </c>
    </row>
    <row r="10" spans="1:3" x14ac:dyDescent="0.2">
      <c r="A10" s="18" t="s">
        <v>47</v>
      </c>
      <c r="B10" s="19">
        <v>2629</v>
      </c>
      <c r="C10" s="211">
        <v>0</v>
      </c>
    </row>
    <row r="11" spans="1:3" x14ac:dyDescent="0.2">
      <c r="A11" s="18" t="s">
        <v>48</v>
      </c>
      <c r="B11" s="19">
        <v>2509</v>
      </c>
      <c r="C11" s="211">
        <v>0</v>
      </c>
    </row>
    <row r="12" spans="1:3" x14ac:dyDescent="0.2">
      <c r="A12" s="18" t="s">
        <v>49</v>
      </c>
      <c r="B12" s="19">
        <v>2005</v>
      </c>
      <c r="C12" s="211">
        <v>0</v>
      </c>
    </row>
    <row r="13" spans="1:3" x14ac:dyDescent="0.2">
      <c r="A13" s="18" t="s">
        <v>50</v>
      </c>
      <c r="B13" s="19">
        <v>2464</v>
      </c>
      <c r="C13" s="211">
        <v>0</v>
      </c>
    </row>
    <row r="14" spans="1:3" x14ac:dyDescent="0.2">
      <c r="A14" s="18" t="s">
        <v>51</v>
      </c>
      <c r="B14" s="19">
        <v>2004</v>
      </c>
      <c r="C14" s="211">
        <v>0</v>
      </c>
    </row>
    <row r="15" spans="1:3" x14ac:dyDescent="0.2">
      <c r="A15" s="18" t="s">
        <v>52</v>
      </c>
      <c r="B15" s="19">
        <v>2405</v>
      </c>
      <c r="C15" s="211">
        <v>0</v>
      </c>
    </row>
    <row r="16" spans="1:3" x14ac:dyDescent="0.2">
      <c r="A16" s="18" t="s">
        <v>156</v>
      </c>
      <c r="B16" s="19">
        <v>3525</v>
      </c>
      <c r="C16" s="211">
        <v>0</v>
      </c>
    </row>
    <row r="17" spans="1:3" x14ac:dyDescent="0.2">
      <c r="A17" s="18" t="s">
        <v>54</v>
      </c>
      <c r="B17" s="19">
        <v>5201</v>
      </c>
      <c r="C17" s="211">
        <v>0</v>
      </c>
    </row>
    <row r="18" spans="1:3" x14ac:dyDescent="0.2">
      <c r="A18" s="18" t="s">
        <v>157</v>
      </c>
      <c r="B18" s="19">
        <v>2007</v>
      </c>
      <c r="C18" s="211">
        <v>0</v>
      </c>
    </row>
    <row r="19" spans="1:3" x14ac:dyDescent="0.2">
      <c r="A19" s="18" t="s">
        <v>56</v>
      </c>
      <c r="B19" s="19">
        <v>2433</v>
      </c>
      <c r="C19" s="211">
        <v>0</v>
      </c>
    </row>
    <row r="20" spans="1:3" x14ac:dyDescent="0.2">
      <c r="A20" s="18" t="s">
        <v>57</v>
      </c>
      <c r="B20" s="19">
        <v>2432</v>
      </c>
      <c r="C20" s="211">
        <v>0</v>
      </c>
    </row>
    <row r="21" spans="1:3" x14ac:dyDescent="0.2">
      <c r="A21" s="18" t="s">
        <v>461</v>
      </c>
      <c r="B21" s="19">
        <v>2447</v>
      </c>
      <c r="C21" s="211">
        <v>0</v>
      </c>
    </row>
    <row r="22" spans="1:3" x14ac:dyDescent="0.2">
      <c r="A22" s="18" t="s">
        <v>60</v>
      </c>
      <c r="B22" s="19">
        <v>2512</v>
      </c>
      <c r="C22" s="211">
        <v>0</v>
      </c>
    </row>
    <row r="23" spans="1:3" x14ac:dyDescent="0.2">
      <c r="A23" s="18" t="s">
        <v>61</v>
      </c>
      <c r="B23" s="19">
        <v>2456</v>
      </c>
      <c r="C23" s="211">
        <v>0</v>
      </c>
    </row>
    <row r="24" spans="1:3" x14ac:dyDescent="0.2">
      <c r="A24" s="18" t="s">
        <v>62</v>
      </c>
      <c r="B24" s="19">
        <v>2449</v>
      </c>
      <c r="C24" s="211">
        <v>0</v>
      </c>
    </row>
    <row r="25" spans="1:3" x14ac:dyDescent="0.2">
      <c r="A25" s="18" t="s">
        <v>63</v>
      </c>
      <c r="B25" s="19">
        <v>2448</v>
      </c>
      <c r="C25" s="211">
        <v>0</v>
      </c>
    </row>
    <row r="26" spans="1:3" x14ac:dyDescent="0.2">
      <c r="A26" s="18" t="s">
        <v>193</v>
      </c>
      <c r="B26" s="19">
        <v>2467</v>
      </c>
      <c r="C26" s="211">
        <v>0</v>
      </c>
    </row>
    <row r="27" spans="1:3" x14ac:dyDescent="0.2">
      <c r="A27" s="18" t="s">
        <v>65</v>
      </c>
      <c r="B27" s="19">
        <v>2455</v>
      </c>
      <c r="C27" s="211">
        <v>0</v>
      </c>
    </row>
    <row r="28" spans="1:3" x14ac:dyDescent="0.2">
      <c r="A28" s="18" t="s">
        <v>66</v>
      </c>
      <c r="B28" s="19">
        <v>5203</v>
      </c>
      <c r="C28" s="211">
        <v>0</v>
      </c>
    </row>
    <row r="29" spans="1:3" x14ac:dyDescent="0.2">
      <c r="A29" s="18" t="s">
        <v>67</v>
      </c>
      <c r="B29" s="19">
        <v>2451</v>
      </c>
      <c r="C29" s="211">
        <v>0</v>
      </c>
    </row>
    <row r="30" spans="1:3" x14ac:dyDescent="0.2">
      <c r="A30" s="18" t="s">
        <v>68</v>
      </c>
      <c r="B30" s="19">
        <v>2409</v>
      </c>
      <c r="C30" s="211">
        <v>0</v>
      </c>
    </row>
    <row r="31" spans="1:3" x14ac:dyDescent="0.2">
      <c r="A31" s="18" t="s">
        <v>159</v>
      </c>
      <c r="B31" s="19">
        <v>3158</v>
      </c>
      <c r="C31" s="211">
        <v>0</v>
      </c>
    </row>
    <row r="32" spans="1:3" x14ac:dyDescent="0.2">
      <c r="A32" s="18" t="s">
        <v>69</v>
      </c>
      <c r="B32" s="19">
        <v>2619</v>
      </c>
      <c r="C32" s="211">
        <v>0</v>
      </c>
    </row>
    <row r="33" spans="1:3" x14ac:dyDescent="0.2">
      <c r="A33" s="18" t="s">
        <v>70</v>
      </c>
      <c r="B33" s="19">
        <v>2518</v>
      </c>
      <c r="C33" s="211">
        <v>0</v>
      </c>
    </row>
    <row r="34" spans="1:3" x14ac:dyDescent="0.2">
      <c r="A34" s="18" t="s">
        <v>71</v>
      </c>
      <c r="B34" s="19">
        <v>2457</v>
      </c>
      <c r="C34" s="211">
        <v>0</v>
      </c>
    </row>
    <row r="35" spans="1:3" x14ac:dyDescent="0.2">
      <c r="A35" s="18" t="s">
        <v>160</v>
      </c>
      <c r="B35" s="19">
        <v>2010</v>
      </c>
      <c r="C35" s="211">
        <v>0</v>
      </c>
    </row>
    <row r="36" spans="1:3" x14ac:dyDescent="0.2">
      <c r="A36" s="18" t="s">
        <v>73</v>
      </c>
      <c r="B36" s="19">
        <v>2002</v>
      </c>
      <c r="C36" s="211">
        <v>0</v>
      </c>
    </row>
    <row r="37" spans="1:3" x14ac:dyDescent="0.2">
      <c r="A37" s="18" t="s">
        <v>74</v>
      </c>
      <c r="B37" s="19">
        <v>3544</v>
      </c>
      <c r="C37" s="211">
        <v>0</v>
      </c>
    </row>
    <row r="38" spans="1:3" x14ac:dyDescent="0.2">
      <c r="A38" s="18" t="s">
        <v>161</v>
      </c>
      <c r="B38" s="19">
        <v>2006</v>
      </c>
      <c r="C38" s="211">
        <v>0</v>
      </c>
    </row>
    <row r="39" spans="1:3" x14ac:dyDescent="0.2">
      <c r="A39" s="18" t="s">
        <v>76</v>
      </c>
      <c r="B39" s="19">
        <v>2434</v>
      </c>
      <c r="C39" s="211">
        <v>0</v>
      </c>
    </row>
    <row r="40" spans="1:3" x14ac:dyDescent="0.2">
      <c r="A40" s="18" t="s">
        <v>77</v>
      </c>
      <c r="B40" s="19">
        <v>2522</v>
      </c>
      <c r="C40" s="211">
        <v>0</v>
      </c>
    </row>
    <row r="41" spans="1:3" x14ac:dyDescent="0.2">
      <c r="A41" s="18" t="s">
        <v>78</v>
      </c>
      <c r="B41" s="19">
        <v>2436</v>
      </c>
      <c r="C41" s="211">
        <v>0</v>
      </c>
    </row>
    <row r="42" spans="1:3" x14ac:dyDescent="0.2">
      <c r="A42" s="18" t="s">
        <v>79</v>
      </c>
      <c r="B42" s="19">
        <v>2452</v>
      </c>
      <c r="C42" s="211">
        <v>0</v>
      </c>
    </row>
    <row r="43" spans="1:3" x14ac:dyDescent="0.2">
      <c r="A43" s="18" t="s">
        <v>80</v>
      </c>
      <c r="B43" s="19">
        <v>2627</v>
      </c>
      <c r="C43" s="211">
        <v>0</v>
      </c>
    </row>
    <row r="44" spans="1:3" x14ac:dyDescent="0.2">
      <c r="A44" s="18" t="s">
        <v>81</v>
      </c>
      <c r="B44" s="19">
        <v>2009</v>
      </c>
      <c r="C44" s="211">
        <v>0</v>
      </c>
    </row>
    <row r="45" spans="1:3" x14ac:dyDescent="0.2">
      <c r="A45" s="18" t="s">
        <v>162</v>
      </c>
      <c r="B45" s="19">
        <v>2473</v>
      </c>
      <c r="C45" s="211">
        <v>0</v>
      </c>
    </row>
    <row r="46" spans="1:3" x14ac:dyDescent="0.2">
      <c r="A46" s="18" t="s">
        <v>84</v>
      </c>
      <c r="B46" s="19">
        <v>2471</v>
      </c>
      <c r="C46" s="211">
        <v>0</v>
      </c>
    </row>
    <row r="47" spans="1:3" x14ac:dyDescent="0.2">
      <c r="A47" s="18" t="s">
        <v>82</v>
      </c>
      <c r="B47" s="19">
        <v>2420</v>
      </c>
      <c r="C47" s="211">
        <v>0</v>
      </c>
    </row>
    <row r="48" spans="1:3" x14ac:dyDescent="0.2">
      <c r="A48" s="18" t="s">
        <v>85</v>
      </c>
      <c r="B48" s="19">
        <v>2003</v>
      </c>
      <c r="C48" s="211">
        <v>0</v>
      </c>
    </row>
    <row r="49" spans="1:3" x14ac:dyDescent="0.2">
      <c r="A49" s="18" t="s">
        <v>86</v>
      </c>
      <c r="B49" s="19">
        <v>2423</v>
      </c>
      <c r="C49" s="211">
        <v>0</v>
      </c>
    </row>
    <row r="50" spans="1:3" x14ac:dyDescent="0.2">
      <c r="A50" s="18" t="s">
        <v>87</v>
      </c>
      <c r="B50" s="19">
        <v>2424</v>
      </c>
      <c r="C50" s="211">
        <v>0</v>
      </c>
    </row>
    <row r="51" spans="1:3" x14ac:dyDescent="0.2">
      <c r="A51" s="18" t="s">
        <v>88</v>
      </c>
      <c r="B51" s="19">
        <v>2439</v>
      </c>
      <c r="C51" s="211">
        <v>0</v>
      </c>
    </row>
    <row r="52" spans="1:3" x14ac:dyDescent="0.2">
      <c r="A52" s="18" t="s">
        <v>89</v>
      </c>
      <c r="B52" s="19">
        <v>2440</v>
      </c>
      <c r="C52" s="211">
        <v>0</v>
      </c>
    </row>
    <row r="53" spans="1:3" x14ac:dyDescent="0.2">
      <c r="A53" s="18" t="s">
        <v>163</v>
      </c>
      <c r="B53" s="19">
        <v>2462</v>
      </c>
      <c r="C53" s="211">
        <v>0</v>
      </c>
    </row>
    <row r="54" spans="1:3" x14ac:dyDescent="0.2">
      <c r="A54" s="18" t="s">
        <v>91</v>
      </c>
      <c r="B54" s="19">
        <v>2463</v>
      </c>
      <c r="C54" s="211">
        <v>0</v>
      </c>
    </row>
    <row r="55" spans="1:3" x14ac:dyDescent="0.2">
      <c r="A55" s="18" t="s">
        <v>92</v>
      </c>
      <c r="B55" s="19">
        <v>2505</v>
      </c>
      <c r="C55" s="211">
        <v>0</v>
      </c>
    </row>
    <row r="56" spans="1:3" x14ac:dyDescent="0.2">
      <c r="A56" s="18" t="s">
        <v>93</v>
      </c>
      <c r="B56" s="19">
        <v>2000</v>
      </c>
      <c r="C56" s="211">
        <v>0</v>
      </c>
    </row>
    <row r="57" spans="1:3" x14ac:dyDescent="0.2">
      <c r="A57" s="18" t="s">
        <v>94</v>
      </c>
      <c r="B57" s="19">
        <v>2458</v>
      </c>
      <c r="C57" s="211">
        <v>0</v>
      </c>
    </row>
    <row r="58" spans="1:3" x14ac:dyDescent="0.2">
      <c r="A58" s="18" t="s">
        <v>95</v>
      </c>
      <c r="B58" s="19">
        <v>2001</v>
      </c>
      <c r="C58" s="211">
        <v>0</v>
      </c>
    </row>
    <row r="59" spans="1:3" x14ac:dyDescent="0.2">
      <c r="A59" s="18" t="s">
        <v>96</v>
      </c>
      <c r="B59" s="19">
        <v>2429</v>
      </c>
      <c r="C59" s="211">
        <v>0</v>
      </c>
    </row>
    <row r="60" spans="1:3" x14ac:dyDescent="0.2">
      <c r="A60" s="18" t="s">
        <v>97</v>
      </c>
      <c r="B60" s="19">
        <v>2444</v>
      </c>
      <c r="C60" s="211">
        <v>0</v>
      </c>
    </row>
    <row r="61" spans="1:3" x14ac:dyDescent="0.2">
      <c r="A61" s="18" t="s">
        <v>98</v>
      </c>
      <c r="B61" s="19">
        <v>5209</v>
      </c>
      <c r="C61" s="211">
        <v>0</v>
      </c>
    </row>
    <row r="62" spans="1:3" x14ac:dyDescent="0.2">
      <c r="A62" s="18" t="s">
        <v>99</v>
      </c>
      <c r="B62" s="19">
        <v>2469</v>
      </c>
      <c r="C62" s="211">
        <v>0</v>
      </c>
    </row>
    <row r="63" spans="1:3" x14ac:dyDescent="0.2">
      <c r="A63" s="18" t="s">
        <v>100</v>
      </c>
      <c r="B63" s="19">
        <v>2430</v>
      </c>
      <c r="C63" s="211">
        <v>0</v>
      </c>
    </row>
    <row r="64" spans="1:3" x14ac:dyDescent="0.2">
      <c r="A64" s="18" t="s">
        <v>101</v>
      </c>
      <c r="B64" s="19">
        <v>2466</v>
      </c>
      <c r="C64" s="211">
        <v>0</v>
      </c>
    </row>
    <row r="65" spans="1:3" x14ac:dyDescent="0.2">
      <c r="A65" s="18" t="s">
        <v>102</v>
      </c>
      <c r="B65" s="19">
        <v>3543</v>
      </c>
      <c r="C65" s="211">
        <v>0</v>
      </c>
    </row>
    <row r="66" spans="1:3" x14ac:dyDescent="0.2">
      <c r="A66" s="18" t="s">
        <v>104</v>
      </c>
      <c r="B66" s="19">
        <v>3531</v>
      </c>
      <c r="C66" s="211">
        <v>0</v>
      </c>
    </row>
    <row r="67" spans="1:3" x14ac:dyDescent="0.2">
      <c r="A67" s="18" t="s">
        <v>164</v>
      </c>
      <c r="B67" s="19">
        <v>3526</v>
      </c>
      <c r="C67" s="211">
        <v>0</v>
      </c>
    </row>
    <row r="68" spans="1:3" x14ac:dyDescent="0.2">
      <c r="A68" s="18" t="s">
        <v>165</v>
      </c>
      <c r="B68" s="19">
        <v>3535</v>
      </c>
      <c r="C68" s="211">
        <v>0</v>
      </c>
    </row>
    <row r="69" spans="1:3" x14ac:dyDescent="0.2">
      <c r="A69" s="21" t="s">
        <v>107</v>
      </c>
      <c r="B69" s="19">
        <v>2008</v>
      </c>
      <c r="C69" s="211">
        <v>0</v>
      </c>
    </row>
    <row r="70" spans="1:3" x14ac:dyDescent="0.2">
      <c r="A70" s="18" t="s">
        <v>166</v>
      </c>
      <c r="B70" s="19">
        <v>3542</v>
      </c>
      <c r="C70" s="211">
        <v>0</v>
      </c>
    </row>
    <row r="71" spans="1:3" x14ac:dyDescent="0.2">
      <c r="A71" s="18" t="s">
        <v>167</v>
      </c>
      <c r="B71" s="19">
        <v>3528</v>
      </c>
      <c r="C71" s="211">
        <v>0</v>
      </c>
    </row>
    <row r="72" spans="1:3" x14ac:dyDescent="0.2">
      <c r="A72" s="18" t="s">
        <v>168</v>
      </c>
      <c r="B72" s="19">
        <v>3534</v>
      </c>
      <c r="C72" s="211">
        <v>0</v>
      </c>
    </row>
    <row r="73" spans="1:3" x14ac:dyDescent="0.2">
      <c r="A73" s="18" t="s">
        <v>169</v>
      </c>
      <c r="B73" s="19">
        <v>3532</v>
      </c>
      <c r="C73" s="211">
        <v>0</v>
      </c>
    </row>
    <row r="74" spans="1:3" x14ac:dyDescent="0.2">
      <c r="A74" s="18" t="s">
        <v>112</v>
      </c>
      <c r="B74" s="19">
        <v>3546</v>
      </c>
      <c r="C74" s="211">
        <v>0</v>
      </c>
    </row>
    <row r="75" spans="1:3" x14ac:dyDescent="0.2">
      <c r="A75" s="18" t="s">
        <v>170</v>
      </c>
      <c r="B75" s="19">
        <v>3530</v>
      </c>
      <c r="C75" s="211">
        <v>0</v>
      </c>
    </row>
    <row r="76" spans="1:3" x14ac:dyDescent="0.2">
      <c r="A76" s="18" t="s">
        <v>114</v>
      </c>
      <c r="B76" s="19">
        <v>2459</v>
      </c>
      <c r="C76" s="211">
        <v>0</v>
      </c>
    </row>
    <row r="77" spans="1:3" x14ac:dyDescent="0.2">
      <c r="A77" s="18"/>
      <c r="B77" s="19"/>
      <c r="C77" s="211"/>
    </row>
    <row r="78" spans="1:3" x14ac:dyDescent="0.2">
      <c r="A78" s="9" t="s">
        <v>171</v>
      </c>
      <c r="B78" s="9" t="s">
        <v>171</v>
      </c>
      <c r="C78" s="222">
        <f t="shared" ref="C78" si="0">SUM(C7:C76)</f>
        <v>0</v>
      </c>
    </row>
    <row r="79" spans="1:3" x14ac:dyDescent="0.2">
      <c r="A79" s="18"/>
      <c r="B79" s="19"/>
      <c r="C79" s="211"/>
    </row>
    <row r="80" spans="1:3" x14ac:dyDescent="0.2">
      <c r="A80" s="18" t="s">
        <v>127</v>
      </c>
      <c r="B80" s="19">
        <v>5402</v>
      </c>
      <c r="C80" s="211">
        <v>0</v>
      </c>
    </row>
    <row r="81" spans="1:3" x14ac:dyDescent="0.2">
      <c r="A81" s="18" t="s">
        <v>116</v>
      </c>
      <c r="B81" s="19">
        <v>4608</v>
      </c>
      <c r="C81" s="211">
        <v>0</v>
      </c>
    </row>
    <row r="82" spans="1:3" x14ac:dyDescent="0.2">
      <c r="A82" s="18" t="s">
        <v>172</v>
      </c>
      <c r="B82" s="19">
        <v>4178</v>
      </c>
      <c r="C82" s="211">
        <v>0</v>
      </c>
    </row>
    <row r="83" spans="1:3" x14ac:dyDescent="0.2">
      <c r="A83" s="18" t="s">
        <v>118</v>
      </c>
      <c r="B83" s="19">
        <v>4181</v>
      </c>
      <c r="C83" s="211">
        <v>0</v>
      </c>
    </row>
    <row r="84" spans="1:3" x14ac:dyDescent="0.2">
      <c r="A84" s="18" t="s">
        <v>119</v>
      </c>
      <c r="B84" s="19">
        <v>4182</v>
      </c>
      <c r="C84" s="211">
        <v>0</v>
      </c>
    </row>
    <row r="85" spans="1:3" x14ac:dyDescent="0.2">
      <c r="A85" s="18" t="s">
        <v>120</v>
      </c>
      <c r="B85" s="244">
        <v>4001</v>
      </c>
      <c r="C85" s="211">
        <v>0</v>
      </c>
    </row>
    <row r="86" spans="1:3" x14ac:dyDescent="0.2">
      <c r="A86" s="18" t="s">
        <v>173</v>
      </c>
      <c r="B86" s="19">
        <v>5406</v>
      </c>
      <c r="C86" s="211">
        <v>0</v>
      </c>
    </row>
    <row r="87" spans="1:3" x14ac:dyDescent="0.2">
      <c r="A87" s="18" t="s">
        <v>174</v>
      </c>
      <c r="B87" s="19">
        <v>5407</v>
      </c>
      <c r="C87" s="211">
        <v>0</v>
      </c>
    </row>
    <row r="88" spans="1:3" x14ac:dyDescent="0.2">
      <c r="A88" s="18" t="s">
        <v>123</v>
      </c>
      <c r="B88" s="19">
        <v>4607</v>
      </c>
      <c r="C88" s="211">
        <v>19329.921551105632</v>
      </c>
    </row>
    <row r="89" spans="1:3" x14ac:dyDescent="0.2">
      <c r="A89" s="18" t="s">
        <v>124</v>
      </c>
      <c r="B89" s="244">
        <v>4002</v>
      </c>
      <c r="C89" s="211">
        <v>0</v>
      </c>
    </row>
    <row r="90" spans="1:3" x14ac:dyDescent="0.2">
      <c r="A90" s="18" t="s">
        <v>175</v>
      </c>
      <c r="B90" s="19">
        <v>4177</v>
      </c>
      <c r="C90" s="211">
        <v>0</v>
      </c>
    </row>
    <row r="91" spans="1:3" x14ac:dyDescent="0.2">
      <c r="A91" s="18" t="s">
        <v>126</v>
      </c>
      <c r="B91" s="19">
        <v>5412</v>
      </c>
      <c r="C91" s="211">
        <v>0</v>
      </c>
    </row>
    <row r="92" spans="1:3" x14ac:dyDescent="0.2">
      <c r="A92" s="18" t="s">
        <v>125</v>
      </c>
      <c r="B92" s="19">
        <v>5414</v>
      </c>
      <c r="C92" s="211">
        <v>0</v>
      </c>
    </row>
    <row r="93" spans="1:3" x14ac:dyDescent="0.2">
      <c r="A93" s="18"/>
      <c r="B93" s="19"/>
      <c r="C93" s="211"/>
    </row>
    <row r="94" spans="1:3" x14ac:dyDescent="0.2">
      <c r="A94" s="9" t="s">
        <v>176</v>
      </c>
      <c r="B94" s="9" t="s">
        <v>176</v>
      </c>
      <c r="C94" s="222">
        <f>SUM(C80:C92)</f>
        <v>19329.921551105632</v>
      </c>
    </row>
    <row r="95" spans="1:3" x14ac:dyDescent="0.2">
      <c r="A95" s="18"/>
      <c r="B95" s="19"/>
      <c r="C95" s="218"/>
    </row>
    <row r="96" spans="1:3" x14ac:dyDescent="0.2">
      <c r="A96" s="9" t="s">
        <v>177</v>
      </c>
      <c r="B96" s="9" t="s">
        <v>178</v>
      </c>
      <c r="C96" s="222">
        <f>C94+C78</f>
        <v>19329.921551105632</v>
      </c>
    </row>
    <row r="97" spans="1:5" x14ac:dyDescent="0.2">
      <c r="A97" s="586" t="s">
        <v>867</v>
      </c>
      <c r="B97" s="646">
        <v>12345</v>
      </c>
      <c r="C97" s="646">
        <v>12345</v>
      </c>
    </row>
    <row r="102" spans="1:5" x14ac:dyDescent="0.2">
      <c r="B102" s="223" t="s">
        <v>271</v>
      </c>
    </row>
    <row r="103" spans="1:5" x14ac:dyDescent="0.2">
      <c r="B103" s="20">
        <v>19329.921551105632</v>
      </c>
    </row>
    <row r="108" spans="1:5" x14ac:dyDescent="0.2">
      <c r="A108" s="491"/>
      <c r="B108" s="654"/>
      <c r="C108" s="654"/>
      <c r="D108" s="793"/>
      <c r="E108" s="806"/>
    </row>
    <row r="109" spans="1:5" x14ac:dyDescent="0.2">
      <c r="A109" s="665"/>
      <c r="B109" s="198"/>
      <c r="C109" s="662"/>
      <c r="D109" s="793"/>
      <c r="E109" s="806"/>
    </row>
    <row r="110" spans="1:5" ht="15" x14ac:dyDescent="0.25">
      <c r="A110" s="665"/>
      <c r="B110" s="198"/>
      <c r="C110" s="661"/>
      <c r="D110" s="793"/>
      <c r="E110" s="806"/>
    </row>
    <row r="111" spans="1:5" x14ac:dyDescent="0.2">
      <c r="A111" s="659"/>
      <c r="B111" s="657"/>
      <c r="C111" s="657"/>
      <c r="D111" s="793"/>
      <c r="E111" s="595"/>
    </row>
    <row r="112" spans="1:5" x14ac:dyDescent="0.2">
      <c r="A112" s="659"/>
      <c r="B112" s="657"/>
      <c r="C112" s="657"/>
      <c r="D112" s="793"/>
      <c r="E112" s="806"/>
    </row>
    <row r="113" spans="1:5" x14ac:dyDescent="0.2">
      <c r="A113" s="331"/>
      <c r="B113" s="331"/>
      <c r="C113" s="331"/>
      <c r="D113" s="793"/>
      <c r="E113" s="595"/>
    </row>
    <row r="114" spans="1:5" x14ac:dyDescent="0.2">
      <c r="A114" s="331"/>
      <c r="B114" s="331"/>
      <c r="C114" s="331"/>
      <c r="D114" s="793"/>
      <c r="E114" s="595"/>
    </row>
    <row r="115" spans="1:5" x14ac:dyDescent="0.2">
      <c r="A115" s="331"/>
      <c r="B115" s="331"/>
      <c r="C115" s="331"/>
      <c r="D115" s="793"/>
      <c r="E115" s="595"/>
    </row>
    <row r="116" spans="1:5" x14ac:dyDescent="0.2">
      <c r="A116" s="331"/>
      <c r="B116" s="331"/>
      <c r="C116" s="331"/>
      <c r="D116" s="793"/>
      <c r="E116" s="595"/>
    </row>
    <row r="117" spans="1:5" x14ac:dyDescent="0.2">
      <c r="A117" s="331"/>
      <c r="B117" s="331"/>
      <c r="C117" s="331"/>
      <c r="D117" s="793"/>
      <c r="E117" s="595"/>
    </row>
    <row r="118" spans="1:5" x14ac:dyDescent="0.2">
      <c r="A118" s="331"/>
      <c r="B118" s="331"/>
      <c r="C118" s="331"/>
      <c r="D118" s="793"/>
      <c r="E118" s="595"/>
    </row>
    <row r="119" spans="1:5" x14ac:dyDescent="0.2">
      <c r="A119" s="612"/>
      <c r="B119" s="658"/>
      <c r="C119" s="658"/>
      <c r="D119" s="793"/>
      <c r="E119" s="595"/>
    </row>
    <row r="120" spans="1:5" x14ac:dyDescent="0.2">
      <c r="A120" s="664"/>
      <c r="B120" s="608"/>
      <c r="C120" s="662"/>
      <c r="D120" s="793"/>
      <c r="E120" s="595"/>
    </row>
    <row r="121" spans="1:5" x14ac:dyDescent="0.2">
      <c r="A121" s="607"/>
      <c r="B121" s="807"/>
      <c r="C121" s="807"/>
      <c r="D121" s="793"/>
      <c r="E121" s="595"/>
    </row>
    <row r="122" spans="1:5" x14ac:dyDescent="0.2">
      <c r="A122" s="808"/>
      <c r="B122" s="608"/>
      <c r="C122" s="662"/>
      <c r="D122" s="793"/>
      <c r="E122" s="595"/>
    </row>
    <row r="123" spans="1:5" x14ac:dyDescent="0.2">
      <c r="A123" s="612"/>
      <c r="B123" s="608"/>
      <c r="C123" s="608"/>
      <c r="D123" s="793"/>
      <c r="E123" s="595"/>
    </row>
    <row r="124" spans="1:5" x14ac:dyDescent="0.2">
      <c r="A124" s="607"/>
      <c r="B124" s="608"/>
      <c r="C124" s="608"/>
      <c r="D124" s="793"/>
      <c r="E124" s="595"/>
    </row>
    <row r="125" spans="1:5" x14ac:dyDescent="0.2">
      <c r="A125" s="808"/>
      <c r="B125" s="608"/>
      <c r="C125" s="802"/>
      <c r="D125" s="793"/>
      <c r="E125" s="595"/>
    </row>
    <row r="126" spans="1:5" x14ac:dyDescent="0.2">
      <c r="A126" s="612"/>
      <c r="B126" s="608"/>
      <c r="C126" s="608"/>
      <c r="D126" s="793"/>
      <c r="E126" s="595"/>
    </row>
    <row r="127" spans="1:5" x14ac:dyDescent="0.2">
      <c r="A127" s="611"/>
      <c r="B127" s="809"/>
      <c r="C127" s="809"/>
      <c r="D127" s="793"/>
      <c r="E127" s="595"/>
    </row>
    <row r="128" spans="1:5" x14ac:dyDescent="0.2">
      <c r="A128" s="804"/>
      <c r="B128" s="804"/>
      <c r="C128" s="722"/>
      <c r="D128" s="793"/>
      <c r="E128" s="806"/>
    </row>
    <row r="129" spans="1:5" x14ac:dyDescent="0.2">
      <c r="A129" s="659"/>
      <c r="B129" s="657"/>
      <c r="C129" s="657"/>
      <c r="D129" s="793"/>
      <c r="E129" s="595"/>
    </row>
  </sheetData>
  <sheetProtection password="EF5C"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School Formula Budget 2014-15</vt:lpstr>
      <vt:lpstr>Special Schools &amp; PRU</vt:lpstr>
      <vt:lpstr>2014 Factor % to units</vt:lpstr>
      <vt:lpstr>Summary for Prints - updated</vt:lpstr>
      <vt:lpstr>Special Schools List</vt:lpstr>
      <vt:lpstr>Special and PRU Data</vt:lpstr>
      <vt:lpstr>For proforma</vt:lpstr>
      <vt:lpstr>School &amp; Nursery Setting Lookup</vt:lpstr>
      <vt:lpstr>Split Site</vt:lpstr>
      <vt:lpstr>Rates</vt:lpstr>
      <vt:lpstr>PFI</vt:lpstr>
      <vt:lpstr>Delegation in 13-14</vt:lpstr>
      <vt:lpstr>Notional SEN</vt:lpstr>
      <vt:lpstr>AWPU</vt:lpstr>
      <vt:lpstr>ERS</vt:lpstr>
      <vt:lpstr>Nursery Formula</vt:lpstr>
      <vt:lpstr>Deprivation</vt:lpstr>
      <vt:lpstr>LAC</vt:lpstr>
      <vt:lpstr>LCHI SEN</vt:lpstr>
      <vt:lpstr>EAL</vt:lpstr>
      <vt:lpstr>Mobility</vt:lpstr>
      <vt:lpstr>Lump Sum</vt:lpstr>
      <vt:lpstr>De-Delegation 14-15</vt:lpstr>
      <vt:lpstr>Prior Year Adj 13-14</vt:lpstr>
      <vt:lpstr>2013-14 Base Budget</vt:lpstr>
      <vt:lpstr>FY 1314 Calculator</vt:lpstr>
      <vt:lpstr>'2014 Factor % to units'!Print_Area</vt:lpstr>
      <vt:lpstr>AWPU!Print_Area</vt:lpstr>
      <vt:lpstr>Deprivation!Print_Area</vt:lpstr>
      <vt:lpstr>'FY 1314 Calculator'!Print_Area</vt:lpstr>
      <vt:lpstr>LAC!Print_Area</vt:lpstr>
      <vt:lpstr>'LCHI SEN'!Print_Area</vt:lpstr>
      <vt:lpstr>Mobility!Print_Area</vt:lpstr>
      <vt:lpstr>'Nursery Formula'!Print_Area</vt:lpstr>
      <vt:lpstr>'Prior Year Adj 13-14'!Print_Area</vt:lpstr>
      <vt:lpstr>'School Formula Budget 2014-15'!Print_Area</vt:lpstr>
      <vt:lpstr>'Special Schools &amp; PRU'!Print_Area</vt:lpstr>
      <vt:lpstr>'Summary for Prints - updated'!Print_Area</vt:lpstr>
      <vt:lpstr>'2014 Factor % to units'!Print_Titles</vt:lpstr>
      <vt:lpstr>AWPU!Print_Titles</vt:lpstr>
      <vt:lpstr>Deprivation!Print_Titles</vt:lpstr>
      <vt:lpstr>'FY 1314 Calculator'!Print_Titles</vt:lpstr>
      <vt:lpstr>'Nursery Formula'!Print_Titles</vt:lpstr>
      <vt:lpstr>'Prior Year Adj 13-14'!Print_Titles</vt:lpstr>
      <vt:lpstr>'Special and PRU Data'!Print_Titles</vt:lpstr>
      <vt:lpstr>'Summary for Prints - updated'!Print_Titles</vt:lpstr>
    </vt:vector>
  </TitlesOfParts>
  <Company>Derby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Appleby</dc:creator>
  <cp:lastModifiedBy>Goodacre, Kelly</cp:lastModifiedBy>
  <cp:lastPrinted>2014-02-07T11:16:15Z</cp:lastPrinted>
  <dcterms:created xsi:type="dcterms:W3CDTF">2013-06-05T12:36:50Z</dcterms:created>
  <dcterms:modified xsi:type="dcterms:W3CDTF">2014-05-01T10:25:36Z</dcterms:modified>
</cp:coreProperties>
</file>